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8.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9.xml" ContentType="application/vnd.openxmlformats-officedocument.drawing+xml"/>
  <Override PartName="/xl/charts/chart52.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0.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48.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36.xml" ContentType="application/vnd.openxmlformats-officedocument.drawingml.chart+xml"/>
  <Override PartName="/xl/drawings/drawing20.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5.xml" ContentType="application/vnd.openxmlformats-officedocument.drawingml.chart+xml"/>
  <Override PartName="/xl/worksheets/sheet1.xml" ContentType="application/vnd.openxmlformats-officedocument.spreadsheetml.worksheet+xml"/>
  <Override PartName="/xl/charts/chart34.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drawings/drawing21.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6.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2.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31.xml" ContentType="application/vnd.openxmlformats-officedocument.drawingml.chart+xml"/>
  <Override PartName="/xl/drawings/drawing19.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drawings/drawing7.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5.xml" ContentType="application/vnd.openxmlformats-officedocument.drawingml.char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hart12.xml" ContentType="application/vnd.openxmlformats-officedocument.drawingml.chart+xml"/>
  <Override PartName="/xl/charts/chart10.xml" ContentType="application/vnd.openxmlformats-officedocument.drawingml.chart+xml"/>
  <Override PartName="/xl/charts/chart21.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18.xml" ContentType="application/vnd.openxmlformats-officedocument.drawingml.chart+xml"/>
  <Override PartName="/xl/charts/chart17.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20.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charts/chart27.xml" ContentType="application/vnd.openxmlformats-officedocument.drawingml.chart+xml"/>
  <Override PartName="/xl/charts/chart29.xml" ContentType="application/vnd.openxmlformats-officedocument.drawingml.chart+xml"/>
  <Override PartName="/xl/charts/chart13.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28.xml" ContentType="application/vnd.openxmlformats-officedocument.drawingml.chart+xml"/>
  <Override PartName="/xl/charts/chart15.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12" windowWidth="20736" windowHeight="6180" tabRatio="938"/>
  </bookViews>
  <sheets>
    <sheet name="Summary" sheetId="4" r:id="rId1"/>
    <sheet name="Tables for Word Doc only" sheetId="32" state="hidden" r:id="rId2"/>
    <sheet name="Myr" sheetId="5" r:id="rId3"/>
    <sheet name="CAS" sheetId="6" r:id="rId4"/>
    <sheet name="CAO" sheetId="7" r:id="rId5"/>
    <sheet name="Legal" sheetId="24" r:id="rId6"/>
    <sheet name="FRS" sheetId="25" r:id="rId7"/>
    <sheet name="Fin" sheetId="8" r:id="rId8"/>
    <sheet name="IT" sheetId="9" r:id="rId9"/>
    <sheet name="CFA" sheetId="20" r:id="rId10"/>
    <sheet name="CS" sheetId="21" r:id="rId11"/>
    <sheet name="HR" sheetId="22" r:id="rId12"/>
    <sheet name="CHR" sheetId="23" r:id="rId13"/>
    <sheet name="Plan" sheetId="3" r:id="rId14"/>
    <sheet name="Eng" sheetId="27" r:id="rId15"/>
    <sheet name="Env" sheetId="28" r:id="rId16"/>
    <sheet name="PWO" sheetId="29" r:id="rId17"/>
    <sheet name="Build" sheetId="26" r:id="rId18"/>
    <sheet name="PFO" sheetId="15" r:id="rId19"/>
    <sheet name="CDO" sheetId="16" state="hidden" r:id="rId20"/>
    <sheet name="ESS" sheetId="17" r:id="rId21"/>
    <sheet name="HCS" sheetId="18" r:id="rId22"/>
    <sheet name="HL" sheetId="19" r:id="rId23"/>
    <sheet name="RC" sheetId="10" r:id="rId24"/>
    <sheet name="WPS" sheetId="11" r:id="rId25"/>
    <sheet name="TW" sheetId="12" r:id="rId26"/>
    <sheet name="HT" sheetId="30" r:id="rId27"/>
    <sheet name="WPL" sheetId="31" r:id="rId28"/>
    <sheet name="AG" sheetId="13" r:id="rId29"/>
    <sheet name="CC" sheetId="14" r:id="rId30"/>
  </sheets>
  <definedNames>
    <definedName name="_xlnm.Print_Area" localSheetId="28">AG!$A$1:$M$54</definedName>
    <definedName name="_xlnm.Print_Area" localSheetId="17">Build!$A$1:$M$64</definedName>
    <definedName name="_xlnm.Print_Area" localSheetId="4">CAO!$A$1:$M$53</definedName>
    <definedName name="_xlnm.Print_Area" localSheetId="3">CAS!$B$1:$N$40</definedName>
    <definedName name="_xlnm.Print_Area" localSheetId="29">CC!$A$1:$M$59</definedName>
    <definedName name="_xlnm.Print_Area" localSheetId="19">CDO!$A$1:$M$61</definedName>
    <definedName name="_xlnm.Print_Area" localSheetId="9">CFA!$A$1:$M$125</definedName>
    <definedName name="_xlnm.Print_Area" localSheetId="12">CHR!$A$1:$M$63</definedName>
    <definedName name="_xlnm.Print_Area" localSheetId="10">CS!$A$1:$M$49</definedName>
    <definedName name="_xlnm.Print_Area" localSheetId="14">Eng!$A$1:$M$62</definedName>
    <definedName name="_xlnm.Print_Area" localSheetId="15">Env!$A$1:$M$66</definedName>
    <definedName name="_xlnm.Print_Area" localSheetId="20">ESS!$A$1:$M$85</definedName>
    <definedName name="_xlnm.Print_Area" localSheetId="7">Fin!$A$1:$M$50</definedName>
    <definedName name="_xlnm.Print_Area" localSheetId="6">FRS!$A$1:$M$94</definedName>
    <definedName name="_xlnm.Print_Area" localSheetId="21">HCS!$A$1:$M$62</definedName>
    <definedName name="_xlnm.Print_Area" localSheetId="22">HL!$A$1:$M$101</definedName>
    <definedName name="_xlnm.Print_Area" localSheetId="11">HR!$A$1:$M$49</definedName>
    <definedName name="_xlnm.Print_Area" localSheetId="26">HT!$A$1:$M$54</definedName>
    <definedName name="_xlnm.Print_Area" localSheetId="8">IT!$A$1:$M$54</definedName>
    <definedName name="_xlnm.Print_Area" localSheetId="5">Legal!$A$1:$M$119</definedName>
    <definedName name="_xlnm.Print_Area" localSheetId="2">Myr!$A$1:$M$39</definedName>
    <definedName name="_xlnm.Print_Area" localSheetId="18">PFO!$A$1:$M$122</definedName>
    <definedName name="_xlnm.Print_Area" localSheetId="13">Plan!$A$1:$M$51</definedName>
    <definedName name="_xlnm.Print_Area" localSheetId="16">PWO!$A$1:$M$96</definedName>
    <definedName name="_xlnm.Print_Area" localSheetId="23">'RC'!$A$1:$M$109</definedName>
    <definedName name="_xlnm.Print_Area" localSheetId="0">Summary!$A$1:$AY$113</definedName>
    <definedName name="_xlnm.Print_Area" localSheetId="1">'Tables for Word Doc only'!$A$1:$L$85</definedName>
    <definedName name="_xlnm.Print_Area" localSheetId="25">TW!$A$1:$M$63</definedName>
    <definedName name="_xlnm.Print_Area" localSheetId="27">WPL!$A$1:$M$53</definedName>
    <definedName name="_xlnm.Print_Area" localSheetId="24">WPS!$A$1:$M$49</definedName>
    <definedName name="_xlnm.Print_Titles" localSheetId="0">Summary!$A:$C,Summary!$3:$6</definedName>
    <definedName name="_xlnm.Print_Titles" localSheetId="1">'Tables for Word Doc only'!$1:$3</definedName>
  </definedNames>
  <calcPr calcId="145621"/>
</workbook>
</file>

<file path=xl/calcChain.xml><?xml version="1.0" encoding="utf-8"?>
<calcChain xmlns="http://schemas.openxmlformats.org/spreadsheetml/2006/main">
  <c r="I42" i="32" l="1"/>
  <c r="G42" i="32"/>
  <c r="D42" i="32"/>
  <c r="I13" i="32"/>
  <c r="R80" i="24"/>
  <c r="L79" i="29" l="1"/>
  <c r="L115" i="20"/>
  <c r="L117" i="20" s="1"/>
  <c r="L109" i="20"/>
  <c r="L42" i="13" l="1"/>
  <c r="L47" i="9"/>
  <c r="AW82" i="4"/>
  <c r="L97" i="15"/>
  <c r="L100" i="15" s="1"/>
  <c r="L36" i="21" l="1"/>
  <c r="L88" i="29"/>
  <c r="L84" i="29"/>
  <c r="L52" i="18"/>
  <c r="L53" i="18" s="1"/>
  <c r="L58" i="18" s="1"/>
  <c r="L53" i="27" l="1"/>
  <c r="L7" i="27" s="1"/>
  <c r="I10" i="32" s="1"/>
  <c r="L87" i="25"/>
  <c r="L104" i="24"/>
  <c r="AY86" i="4"/>
  <c r="AY71" i="4"/>
  <c r="AY70" i="4"/>
  <c r="AY69" i="4"/>
  <c r="AY34" i="4"/>
  <c r="AY33" i="4"/>
  <c r="AY32" i="4"/>
  <c r="AY31" i="4"/>
  <c r="L94" i="24"/>
  <c r="L74" i="17"/>
  <c r="L67" i="17"/>
  <c r="L93" i="15"/>
  <c r="L91" i="10"/>
  <c r="L7" i="10" s="1"/>
  <c r="I7" i="32" s="1"/>
  <c r="L90" i="29" l="1"/>
  <c r="L7" i="29" s="1"/>
  <c r="I4" i="32" s="1"/>
  <c r="L59" i="12" l="1"/>
  <c r="L7" i="12" s="1"/>
  <c r="I31" i="32" s="1"/>
  <c r="F51" i="4"/>
  <c r="G51" i="4"/>
  <c r="M51" i="4"/>
  <c r="N51" i="4"/>
  <c r="O51" i="4"/>
  <c r="Q51" i="4"/>
  <c r="R51" i="4"/>
  <c r="U51" i="4"/>
  <c r="W51" i="4"/>
  <c r="X51" i="4"/>
  <c r="Y51" i="4"/>
  <c r="Z51" i="4"/>
  <c r="AA51" i="4" s="1"/>
  <c r="AI51" i="4"/>
  <c r="AK51" i="4"/>
  <c r="AQ51" i="4" s="1"/>
  <c r="AM51" i="4"/>
  <c r="S51" i="4" l="1"/>
  <c r="S21" i="12"/>
  <c r="D48" i="32"/>
  <c r="L46" i="32"/>
  <c r="C46" i="32"/>
  <c r="H42" i="32"/>
  <c r="F42" i="32"/>
  <c r="K33" i="32"/>
  <c r="H33" i="32"/>
  <c r="G33" i="32"/>
  <c r="F33" i="32"/>
  <c r="C33" i="32"/>
  <c r="P33" i="32" s="1"/>
  <c r="K30" i="32"/>
  <c r="F30" i="32"/>
  <c r="C30" i="32"/>
  <c r="P30" i="32" s="1"/>
  <c r="K32" i="32"/>
  <c r="G32" i="32"/>
  <c r="C32" i="32"/>
  <c r="P32" i="32" s="1"/>
  <c r="K31" i="32"/>
  <c r="J31" i="32"/>
  <c r="H31" i="32"/>
  <c r="F31" i="32"/>
  <c r="C31" i="32"/>
  <c r="P31" i="32" s="1"/>
  <c r="K29" i="32"/>
  <c r="H29" i="32"/>
  <c r="F29" i="32"/>
  <c r="C29" i="32"/>
  <c r="P28" i="32"/>
  <c r="P27" i="32"/>
  <c r="K7" i="32"/>
  <c r="J7" i="32"/>
  <c r="H7" i="32"/>
  <c r="F7" i="32"/>
  <c r="C7" i="32"/>
  <c r="P7" i="32" s="1"/>
  <c r="K11" i="32"/>
  <c r="H11" i="32"/>
  <c r="F11" i="32"/>
  <c r="C11" i="32"/>
  <c r="P11" i="32" s="1"/>
  <c r="K23" i="32"/>
  <c r="H23" i="32"/>
  <c r="C23" i="32"/>
  <c r="P23" i="32" s="1"/>
  <c r="K25" i="32"/>
  <c r="H25" i="32"/>
  <c r="F25" i="32"/>
  <c r="C25" i="32"/>
  <c r="P25" i="32" s="1"/>
  <c r="K13" i="32"/>
  <c r="J13" i="32"/>
  <c r="H13" i="32"/>
  <c r="G13" i="32"/>
  <c r="F13" i="32"/>
  <c r="C13" i="32"/>
  <c r="K9" i="32"/>
  <c r="H9" i="32"/>
  <c r="F9" i="32"/>
  <c r="C9" i="32"/>
  <c r="P9" i="32" s="1"/>
  <c r="K16" i="32"/>
  <c r="H16" i="32"/>
  <c r="F16" i="32"/>
  <c r="C16" i="32"/>
  <c r="P16" i="32" s="1"/>
  <c r="K4" i="32"/>
  <c r="J4" i="32"/>
  <c r="H4" i="32"/>
  <c r="G4" i="32"/>
  <c r="F4" i="32"/>
  <c r="C4" i="32"/>
  <c r="P4" i="32" s="1"/>
  <c r="K22" i="32"/>
  <c r="H22" i="32"/>
  <c r="F22" i="32"/>
  <c r="C22" i="32"/>
  <c r="P22" i="32" s="1"/>
  <c r="K10" i="32"/>
  <c r="J10" i="32"/>
  <c r="H10" i="32"/>
  <c r="F10" i="32"/>
  <c r="C10" i="32"/>
  <c r="K20" i="32"/>
  <c r="H20" i="32"/>
  <c r="F20" i="32"/>
  <c r="C20" i="32"/>
  <c r="P20" i="32" s="1"/>
  <c r="K24" i="32"/>
  <c r="H24" i="32"/>
  <c r="F24" i="32"/>
  <c r="C24" i="32"/>
  <c r="P24" i="32" s="1"/>
  <c r="K15" i="32"/>
  <c r="H15" i="32"/>
  <c r="F15" i="32"/>
  <c r="C15" i="32"/>
  <c r="P15" i="32" s="1"/>
  <c r="K19" i="32"/>
  <c r="H19" i="32"/>
  <c r="F19" i="32"/>
  <c r="C19" i="32"/>
  <c r="P19" i="32" s="1"/>
  <c r="K6" i="32"/>
  <c r="H6" i="32"/>
  <c r="G6" i="32"/>
  <c r="F6" i="32"/>
  <c r="C6" i="32"/>
  <c r="P6" i="32" s="1"/>
  <c r="K17" i="32"/>
  <c r="H17" i="32"/>
  <c r="F17" i="32"/>
  <c r="C17" i="32"/>
  <c r="P17" i="32" s="1"/>
  <c r="K21" i="32"/>
  <c r="H21" i="32"/>
  <c r="F21" i="32"/>
  <c r="C21" i="32"/>
  <c r="K8" i="32"/>
  <c r="H8" i="32"/>
  <c r="F8" i="32"/>
  <c r="C8" i="32"/>
  <c r="P8" i="32" s="1"/>
  <c r="K5" i="32"/>
  <c r="F5" i="32"/>
  <c r="C5" i="32"/>
  <c r="P5" i="32" s="1"/>
  <c r="K18" i="32"/>
  <c r="H18" i="32"/>
  <c r="F18" i="32"/>
  <c r="C18" i="32"/>
  <c r="P18" i="32" s="1"/>
  <c r="K14" i="32"/>
  <c r="H14" i="32"/>
  <c r="F14" i="32"/>
  <c r="C14" i="32"/>
  <c r="P14" i="32" s="1"/>
  <c r="K12" i="32"/>
  <c r="H12" i="32"/>
  <c r="G12" i="32"/>
  <c r="F12" i="32"/>
  <c r="C12" i="32"/>
  <c r="L7" i="18"/>
  <c r="L44" i="3"/>
  <c r="L7" i="3" s="1"/>
  <c r="L7" i="20"/>
  <c r="AS82" i="4"/>
  <c r="AV82" i="4"/>
  <c r="AU82" i="4"/>
  <c r="AT82" i="4"/>
  <c r="AP82" i="4"/>
  <c r="AP84" i="4" s="1"/>
  <c r="AN82" i="4"/>
  <c r="AL82" i="4"/>
  <c r="C104" i="24"/>
  <c r="C94" i="24"/>
  <c r="G6" i="25"/>
  <c r="G8" i="32" s="1"/>
  <c r="G6" i="15"/>
  <c r="G9" i="32" s="1"/>
  <c r="AS48" i="4"/>
  <c r="AP88" i="4"/>
  <c r="AI88" i="4"/>
  <c r="AK86" i="4"/>
  <c r="AL86" i="4" s="1"/>
  <c r="AN86" i="4" s="1"/>
  <c r="AO86" i="4" s="1"/>
  <c r="AI86" i="4"/>
  <c r="AA86" i="4"/>
  <c r="J6" i="32" l="1"/>
  <c r="I6" i="32"/>
  <c r="J20" i="32"/>
  <c r="I20" i="32"/>
  <c r="J23" i="32"/>
  <c r="I23" i="32"/>
  <c r="F34" i="32"/>
  <c r="C34" i="32"/>
  <c r="P34" i="32" s="1"/>
  <c r="K34" i="32"/>
  <c r="J26" i="32"/>
  <c r="P12" i="32"/>
  <c r="P10" i="32"/>
  <c r="P13" i="32"/>
  <c r="P21" i="32"/>
  <c r="L13" i="32"/>
  <c r="P29" i="32"/>
  <c r="AQ86" i="4"/>
  <c r="K26" i="32" l="1"/>
  <c r="C26" i="32"/>
  <c r="AS26" i="4"/>
  <c r="AC113" i="4"/>
  <c r="K48" i="32" l="1"/>
  <c r="K36" i="32"/>
  <c r="C48" i="32"/>
  <c r="P26" i="32"/>
  <c r="C36" i="32"/>
  <c r="P36" i="32" s="1"/>
  <c r="AY106" i="4"/>
  <c r="L102" i="15" l="1"/>
  <c r="L7" i="15" s="1"/>
  <c r="L35" i="30"/>
  <c r="L7" i="30" s="1"/>
  <c r="J9" i="32" l="1"/>
  <c r="I9" i="32"/>
  <c r="L9" i="32" s="1"/>
  <c r="L59" i="28"/>
  <c r="L7" i="28" s="1"/>
  <c r="L106" i="24"/>
  <c r="L7" i="24" s="1"/>
  <c r="AT26" i="4"/>
  <c r="AX73" i="4"/>
  <c r="AX72" i="4"/>
  <c r="AX68" i="4"/>
  <c r="AX67" i="4"/>
  <c r="AX66" i="4"/>
  <c r="AX59" i="4"/>
  <c r="AX58" i="4"/>
  <c r="AX57" i="4"/>
  <c r="AX56" i="4"/>
  <c r="AX55" i="4"/>
  <c r="AX54" i="4"/>
  <c r="AX50" i="4"/>
  <c r="AX49" i="4"/>
  <c r="AX48" i="4"/>
  <c r="AX47" i="4"/>
  <c r="AX46" i="4"/>
  <c r="AX37" i="4"/>
  <c r="AX36" i="4"/>
  <c r="AX35" i="4"/>
  <c r="AX30" i="4"/>
  <c r="AX26" i="4"/>
  <c r="AX25" i="4"/>
  <c r="AX24" i="4"/>
  <c r="AX23" i="4"/>
  <c r="AX22" i="4"/>
  <c r="AX21" i="4"/>
  <c r="AX20" i="4"/>
  <c r="AX16" i="4"/>
  <c r="AX15" i="4"/>
  <c r="AX14" i="4"/>
  <c r="AX13" i="4"/>
  <c r="AX9" i="4"/>
  <c r="AX8" i="4"/>
  <c r="J22" i="32" l="1"/>
  <c r="I22" i="32"/>
  <c r="J5" i="32"/>
  <c r="I5" i="32"/>
  <c r="L78" i="17"/>
  <c r="L7" i="17" s="1"/>
  <c r="AX51" i="4"/>
  <c r="L4" i="32"/>
  <c r="AX10" i="4"/>
  <c r="AX74" i="4"/>
  <c r="AX60" i="4"/>
  <c r="AX17" i="4"/>
  <c r="AX38" i="4"/>
  <c r="AX27" i="4"/>
  <c r="AM74" i="4"/>
  <c r="AX43" i="4"/>
  <c r="AU43" i="4"/>
  <c r="AT43" i="4"/>
  <c r="AS43" i="4"/>
  <c r="AP43" i="4"/>
  <c r="AM43" i="4"/>
  <c r="AL43" i="4"/>
  <c r="AK43" i="4"/>
  <c r="AP38" i="4"/>
  <c r="AK38" i="4"/>
  <c r="AM17" i="4"/>
  <c r="AK17" i="4"/>
  <c r="J25" i="32" l="1"/>
  <c r="I25" i="32"/>
  <c r="AX62" i="4"/>
  <c r="AO73" i="4"/>
  <c r="AO72" i="4"/>
  <c r="AO68" i="4"/>
  <c r="AO67" i="4"/>
  <c r="AO66" i="4"/>
  <c r="AO59" i="4"/>
  <c r="AO58" i="4"/>
  <c r="AO57" i="4"/>
  <c r="AO56" i="4"/>
  <c r="AO55" i="4"/>
  <c r="AO54" i="4"/>
  <c r="AO50" i="4"/>
  <c r="AO48" i="4"/>
  <c r="AO47" i="4"/>
  <c r="AO46" i="4"/>
  <c r="AO37" i="4"/>
  <c r="AO49" i="4"/>
  <c r="AO16" i="4"/>
  <c r="AO15" i="4"/>
  <c r="AO14" i="4"/>
  <c r="AO36" i="4"/>
  <c r="AO35" i="4"/>
  <c r="AO34" i="4"/>
  <c r="AO33" i="4"/>
  <c r="AO32" i="4"/>
  <c r="AO31" i="4"/>
  <c r="AO30" i="4"/>
  <c r="AO26" i="4"/>
  <c r="AO25" i="4"/>
  <c r="AO24" i="4"/>
  <c r="AO23" i="4"/>
  <c r="AO22" i="4"/>
  <c r="AO21" i="4"/>
  <c r="AO20" i="4"/>
  <c r="AO13" i="4"/>
  <c r="AO9" i="4"/>
  <c r="AO8" i="4"/>
  <c r="AN73" i="4"/>
  <c r="AN72" i="4"/>
  <c r="AN68" i="4"/>
  <c r="AN67" i="4"/>
  <c r="AN66" i="4"/>
  <c r="AN59" i="4"/>
  <c r="AN57" i="4"/>
  <c r="AN56" i="4"/>
  <c r="AN55" i="4"/>
  <c r="AN54" i="4"/>
  <c r="AN50" i="4"/>
  <c r="AN48" i="4"/>
  <c r="AN47" i="4"/>
  <c r="AN46" i="4"/>
  <c r="AN37" i="4"/>
  <c r="AN49" i="4"/>
  <c r="AN16" i="4"/>
  <c r="AN15" i="4"/>
  <c r="AN14" i="4"/>
  <c r="AN36" i="4"/>
  <c r="AN35" i="4"/>
  <c r="AN34" i="4"/>
  <c r="AN33" i="4"/>
  <c r="AN32" i="4"/>
  <c r="AN31" i="4"/>
  <c r="AN30" i="4"/>
  <c r="AN26" i="4"/>
  <c r="AN25" i="4"/>
  <c r="AN24" i="4"/>
  <c r="AN23" i="4"/>
  <c r="AN22" i="4"/>
  <c r="AN21" i="4"/>
  <c r="AN20" i="4"/>
  <c r="AN13" i="4"/>
  <c r="AN9" i="4"/>
  <c r="AN8" i="4"/>
  <c r="AN51" i="4" l="1"/>
  <c r="AO51" i="4"/>
  <c r="AX76" i="4"/>
  <c r="AX88" i="4"/>
  <c r="AO17" i="4"/>
  <c r="AN17" i="4"/>
  <c r="AN38" i="4"/>
  <c r="AO38" i="4"/>
  <c r="AN43" i="4"/>
  <c r="AO43" i="4"/>
  <c r="G5" i="18"/>
  <c r="G6" i="18" l="1"/>
  <c r="G23" i="32" s="1"/>
  <c r="F23" i="32"/>
  <c r="G6" i="9"/>
  <c r="G17" i="32" s="1"/>
  <c r="G6" i="13"/>
  <c r="G6" i="12"/>
  <c r="G6" i="11"/>
  <c r="G29" i="32" s="1"/>
  <c r="G6" i="10"/>
  <c r="G6" i="19"/>
  <c r="G6" i="17"/>
  <c r="G25" i="32" s="1"/>
  <c r="AT48" i="4"/>
  <c r="G6" i="28"/>
  <c r="G6" i="27"/>
  <c r="G10" i="32" s="1"/>
  <c r="G6" i="3"/>
  <c r="G6" i="26"/>
  <c r="G16" i="32" s="1"/>
  <c r="AT16" i="4"/>
  <c r="G6" i="24"/>
  <c r="G5" i="32" s="1"/>
  <c r="G6" i="23"/>
  <c r="G24" i="32" s="1"/>
  <c r="G6" i="22"/>
  <c r="G6" i="21"/>
  <c r="G19" i="32" s="1"/>
  <c r="G6" i="20"/>
  <c r="G6" i="8"/>
  <c r="G21" i="32" s="1"/>
  <c r="AS9" i="4"/>
  <c r="AT73" i="4"/>
  <c r="AS73" i="4"/>
  <c r="AS72" i="4"/>
  <c r="AS67" i="4"/>
  <c r="AS66" i="4"/>
  <c r="AS59" i="4"/>
  <c r="AS57" i="4"/>
  <c r="AS56" i="4"/>
  <c r="AT55" i="4"/>
  <c r="AS55" i="4"/>
  <c r="AT54" i="4"/>
  <c r="AS54" i="4"/>
  <c r="AT50" i="4"/>
  <c r="AS50" i="4"/>
  <c r="AS47" i="4"/>
  <c r="AS46" i="4"/>
  <c r="AS37" i="4"/>
  <c r="AS49" i="4"/>
  <c r="AS16" i="4"/>
  <c r="AS14" i="4"/>
  <c r="AS36" i="4"/>
  <c r="AS35" i="4"/>
  <c r="AT30" i="4"/>
  <c r="AS30" i="4"/>
  <c r="AS25" i="4"/>
  <c r="AT20" i="4"/>
  <c r="AS20" i="4"/>
  <c r="AS13" i="4"/>
  <c r="AT8" i="4"/>
  <c r="AS8" i="4"/>
  <c r="AT14" i="4" l="1"/>
  <c r="AT46" i="4"/>
  <c r="AT66" i="4"/>
  <c r="AT56" i="4"/>
  <c r="AT49" i="4"/>
  <c r="AT25" i="4"/>
  <c r="AT27" i="4" s="1"/>
  <c r="AT36" i="4"/>
  <c r="F26" i="32"/>
  <c r="F36" i="32" s="1"/>
  <c r="F44" i="32" s="1"/>
  <c r="F48" i="32" s="1"/>
  <c r="AS51" i="4"/>
  <c r="AT35" i="4"/>
  <c r="G15" i="32"/>
  <c r="AT59" i="4"/>
  <c r="G7" i="32"/>
  <c r="AT67" i="4"/>
  <c r="G31" i="32"/>
  <c r="AT57" i="4"/>
  <c r="G11" i="32"/>
  <c r="AT72" i="4"/>
  <c r="G30" i="32"/>
  <c r="AT47" i="4"/>
  <c r="G22" i="32"/>
  <c r="AT37" i="4"/>
  <c r="G20" i="32"/>
  <c r="AS38" i="4"/>
  <c r="AS17" i="4"/>
  <c r="AS27" i="4"/>
  <c r="G6" i="7"/>
  <c r="AT38" i="4" l="1"/>
  <c r="AT51" i="4"/>
  <c r="G34" i="32"/>
  <c r="AT13" i="4"/>
  <c r="AT17" i="4" s="1"/>
  <c r="G18" i="32"/>
  <c r="G6" i="6"/>
  <c r="AU26" i="4"/>
  <c r="L5" i="24"/>
  <c r="AU73" i="4"/>
  <c r="AU67" i="4"/>
  <c r="AU66" i="4"/>
  <c r="AU59" i="4"/>
  <c r="AU57" i="4"/>
  <c r="AU56" i="4"/>
  <c r="AU55" i="4"/>
  <c r="AU54" i="4"/>
  <c r="AU50" i="4"/>
  <c r="AU48" i="4"/>
  <c r="AU47" i="4"/>
  <c r="AU46" i="4"/>
  <c r="AU37" i="4"/>
  <c r="AU49" i="4"/>
  <c r="AU16" i="4"/>
  <c r="AU36" i="4"/>
  <c r="AU35" i="4"/>
  <c r="AU30" i="4"/>
  <c r="AU25" i="4"/>
  <c r="AU20" i="4"/>
  <c r="AU13" i="4"/>
  <c r="AU9" i="4"/>
  <c r="AU8" i="4"/>
  <c r="AY94" i="4"/>
  <c r="AX94" i="4"/>
  <c r="AX106" i="4" s="1"/>
  <c r="AS74" i="4"/>
  <c r="AT68" i="4"/>
  <c r="AT74" i="4" s="1"/>
  <c r="AW67" i="4"/>
  <c r="AY67" i="4" s="1"/>
  <c r="AS60" i="4"/>
  <c r="AW59" i="4"/>
  <c r="AY59" i="4" s="1"/>
  <c r="AW56" i="4"/>
  <c r="AY56" i="4" s="1"/>
  <c r="AW55" i="4"/>
  <c r="AY55" i="4" s="1"/>
  <c r="AW54" i="4"/>
  <c r="AV54" i="4"/>
  <c r="AT60" i="4"/>
  <c r="AW50" i="4"/>
  <c r="AY50" i="4" s="1"/>
  <c r="AV50" i="4"/>
  <c r="AW48" i="4"/>
  <c r="AY48" i="4" s="1"/>
  <c r="AV48" i="4"/>
  <c r="AW47" i="4"/>
  <c r="AY47" i="4" s="1"/>
  <c r="AW46" i="4"/>
  <c r="AY46" i="4" s="1"/>
  <c r="AW37" i="4"/>
  <c r="AY37" i="4" s="1"/>
  <c r="AW14" i="4"/>
  <c r="AY14" i="4" s="1"/>
  <c r="AW26" i="4"/>
  <c r="AY26" i="4" s="1"/>
  <c r="AS10" i="4"/>
  <c r="J8" i="7"/>
  <c r="J8" i="24"/>
  <c r="AU10" i="4" l="1"/>
  <c r="AU14" i="4"/>
  <c r="AU17" i="4" s="1"/>
  <c r="H5" i="32"/>
  <c r="H26" i="32" s="1"/>
  <c r="AT9" i="4"/>
  <c r="AT10" i="4" s="1"/>
  <c r="AT62" i="4" s="1"/>
  <c r="AT88" i="4" s="1"/>
  <c r="G14" i="32"/>
  <c r="AU51" i="4"/>
  <c r="AW43" i="4"/>
  <c r="AU60" i="4"/>
  <c r="AU38" i="4"/>
  <c r="AU27" i="4"/>
  <c r="AS62" i="4"/>
  <c r="G26" i="32" l="1"/>
  <c r="G36" i="32" s="1"/>
  <c r="G44" i="32" s="1"/>
  <c r="G48" i="32" s="1"/>
  <c r="AT76" i="4"/>
  <c r="AU62" i="4"/>
  <c r="AS76" i="4"/>
  <c r="AS84" i="4" s="1"/>
  <c r="AS88" i="4" s="1"/>
  <c r="AT84" i="4" l="1"/>
  <c r="L5" i="13"/>
  <c r="L36" i="11"/>
  <c r="L7" i="11" s="1"/>
  <c r="I29" i="32" s="1"/>
  <c r="L36" i="14"/>
  <c r="L7" i="14" s="1"/>
  <c r="I33" i="32" s="1"/>
  <c r="S21" i="14"/>
  <c r="S20" i="14"/>
  <c r="S19" i="14"/>
  <c r="S18" i="14"/>
  <c r="S17" i="14"/>
  <c r="S16" i="14"/>
  <c r="S15" i="14"/>
  <c r="S14" i="14"/>
  <c r="S13" i="14"/>
  <c r="S12" i="14"/>
  <c r="S11" i="14"/>
  <c r="S10" i="14"/>
  <c r="S9" i="14"/>
  <c r="F9" i="14"/>
  <c r="E9" i="14"/>
  <c r="S8" i="14"/>
  <c r="K8" i="14"/>
  <c r="J8" i="14"/>
  <c r="S7" i="14"/>
  <c r="G7" i="14"/>
  <c r="G8" i="14" s="1"/>
  <c r="G9" i="14" s="1"/>
  <c r="S6" i="14"/>
  <c r="S5" i="14"/>
  <c r="S4" i="14"/>
  <c r="S3" i="14"/>
  <c r="L7" i="13"/>
  <c r="I30" i="32" s="1"/>
  <c r="S21" i="13"/>
  <c r="S20" i="13"/>
  <c r="S19" i="13"/>
  <c r="S18" i="13"/>
  <c r="S17" i="13"/>
  <c r="S16" i="13"/>
  <c r="S15" i="13"/>
  <c r="S14" i="13"/>
  <c r="S13" i="13"/>
  <c r="S12" i="13"/>
  <c r="S11" i="13"/>
  <c r="S10" i="13"/>
  <c r="S9" i="13"/>
  <c r="F9" i="13"/>
  <c r="E9" i="13"/>
  <c r="S8" i="13"/>
  <c r="K8" i="13"/>
  <c r="J8" i="13"/>
  <c r="S7" i="13"/>
  <c r="G7" i="13"/>
  <c r="G8" i="13" s="1"/>
  <c r="S6" i="13"/>
  <c r="S5" i="13"/>
  <c r="S4" i="13"/>
  <c r="S3" i="13"/>
  <c r="L34" i="31"/>
  <c r="L7" i="31" s="1"/>
  <c r="S21" i="31"/>
  <c r="S20" i="31"/>
  <c r="S19" i="31"/>
  <c r="S18" i="31"/>
  <c r="S17" i="31"/>
  <c r="S16" i="31"/>
  <c r="S15" i="31"/>
  <c r="S14" i="31"/>
  <c r="S13" i="31"/>
  <c r="S12" i="31"/>
  <c r="S11" i="31"/>
  <c r="S10" i="31"/>
  <c r="S9" i="31"/>
  <c r="F9" i="31"/>
  <c r="E9" i="31"/>
  <c r="S8" i="31"/>
  <c r="K8" i="31"/>
  <c r="J8" i="31"/>
  <c r="S7" i="31"/>
  <c r="G7" i="31"/>
  <c r="G8" i="31" s="1"/>
  <c r="S6" i="31"/>
  <c r="S5" i="31"/>
  <c r="S4" i="31"/>
  <c r="S3" i="31"/>
  <c r="S21" i="30"/>
  <c r="S20" i="30"/>
  <c r="S19" i="30"/>
  <c r="S18" i="30"/>
  <c r="S17" i="30"/>
  <c r="S16" i="30"/>
  <c r="S15" i="30"/>
  <c r="S14" i="30"/>
  <c r="S13" i="30"/>
  <c r="S12" i="30"/>
  <c r="S11" i="30"/>
  <c r="S10" i="30"/>
  <c r="S9" i="30"/>
  <c r="F9" i="30"/>
  <c r="E9" i="30"/>
  <c r="S8" i="30"/>
  <c r="K8" i="30"/>
  <c r="J8" i="30"/>
  <c r="I32" i="32" l="1"/>
  <c r="J32" i="32"/>
  <c r="AW68" i="4"/>
  <c r="AY68" i="4" s="1"/>
  <c r="J30" i="32"/>
  <c r="AW72" i="4"/>
  <c r="AY72" i="4" s="1"/>
  <c r="J33" i="32"/>
  <c r="AW73" i="4"/>
  <c r="AY73" i="4" s="1"/>
  <c r="J29" i="32"/>
  <c r="AW66" i="4"/>
  <c r="AV72" i="4"/>
  <c r="L30" i="32"/>
  <c r="AV66" i="4"/>
  <c r="AV68" i="4"/>
  <c r="L32" i="32"/>
  <c r="AV73" i="4"/>
  <c r="L33" i="32"/>
  <c r="AU72" i="4"/>
  <c r="AU74" i="4" s="1"/>
  <c r="AU76" i="4" s="1"/>
  <c r="AU84" i="4" s="1"/>
  <c r="AU88" i="4" s="1"/>
  <c r="H30" i="32"/>
  <c r="H34" i="32" s="1"/>
  <c r="H36" i="32" s="1"/>
  <c r="H44" i="32" s="1"/>
  <c r="H48" i="32" s="1"/>
  <c r="S22" i="13"/>
  <c r="G9" i="13"/>
  <c r="S22" i="31"/>
  <c r="G9" i="31"/>
  <c r="S22" i="14"/>
  <c r="S7" i="30"/>
  <c r="G7" i="30"/>
  <c r="G8" i="30" s="1"/>
  <c r="G9" i="30" s="1"/>
  <c r="S6" i="30"/>
  <c r="S5" i="30"/>
  <c r="S4" i="30"/>
  <c r="S3" i="30"/>
  <c r="S20" i="12"/>
  <c r="S19" i="12"/>
  <c r="S18" i="12"/>
  <c r="S17" i="12"/>
  <c r="S16" i="12"/>
  <c r="S15" i="12"/>
  <c r="S14" i="12"/>
  <c r="S13" i="12"/>
  <c r="S12" i="12"/>
  <c r="S11" i="12"/>
  <c r="S10" i="12"/>
  <c r="S9" i="12"/>
  <c r="F9" i="12"/>
  <c r="E9" i="12"/>
  <c r="S8" i="12"/>
  <c r="K8" i="12"/>
  <c r="J8" i="12"/>
  <c r="J34" i="32" l="1"/>
  <c r="J36" i="32" s="1"/>
  <c r="AY66" i="4"/>
  <c r="AW74" i="4"/>
  <c r="AY74" i="4" s="1"/>
  <c r="L29" i="32"/>
  <c r="S22" i="30"/>
  <c r="S7" i="12"/>
  <c r="S6" i="12"/>
  <c r="S5" i="12"/>
  <c r="S4" i="12"/>
  <c r="S3" i="12"/>
  <c r="J48" i="32" l="1"/>
  <c r="S22" i="12"/>
  <c r="AV67" i="4"/>
  <c r="G7" i="12"/>
  <c r="G8" i="12" s="1"/>
  <c r="G9" i="12" s="1"/>
  <c r="S21" i="11"/>
  <c r="S20" i="11"/>
  <c r="S19" i="11"/>
  <c r="S18" i="11"/>
  <c r="S17" i="11"/>
  <c r="S16" i="11"/>
  <c r="S15" i="11"/>
  <c r="S14" i="11"/>
  <c r="S13" i="11"/>
  <c r="S12" i="11"/>
  <c r="S11" i="11"/>
  <c r="S10" i="11"/>
  <c r="S9" i="11"/>
  <c r="F9" i="11"/>
  <c r="E9" i="11"/>
  <c r="S8" i="11"/>
  <c r="K8" i="11"/>
  <c r="J8" i="11"/>
  <c r="S7" i="11"/>
  <c r="G7" i="11" s="1"/>
  <c r="G8" i="11" s="1"/>
  <c r="G9" i="11" s="1"/>
  <c r="S6" i="11"/>
  <c r="S5" i="11"/>
  <c r="S4" i="11"/>
  <c r="S3" i="11"/>
  <c r="S21" i="10"/>
  <c r="S20" i="10"/>
  <c r="S19" i="10"/>
  <c r="S18" i="10"/>
  <c r="S17" i="10"/>
  <c r="S16" i="10"/>
  <c r="S15" i="10"/>
  <c r="S14" i="10"/>
  <c r="S13" i="10"/>
  <c r="S12" i="10"/>
  <c r="S11" i="10"/>
  <c r="S10" i="10"/>
  <c r="S9" i="10"/>
  <c r="F9" i="10"/>
  <c r="E9" i="10"/>
  <c r="S8" i="10"/>
  <c r="K8" i="10"/>
  <c r="J8" i="10"/>
  <c r="S7" i="10"/>
  <c r="S6" i="10"/>
  <c r="S5" i="10"/>
  <c r="S4" i="10"/>
  <c r="S3" i="10"/>
  <c r="L75" i="19"/>
  <c r="L7" i="19" s="1"/>
  <c r="I11" i="32" s="1"/>
  <c r="S21" i="19"/>
  <c r="S20" i="19"/>
  <c r="S19" i="19"/>
  <c r="S18" i="19"/>
  <c r="S17" i="19"/>
  <c r="S16" i="19"/>
  <c r="S15" i="19"/>
  <c r="S14" i="19"/>
  <c r="S13" i="19"/>
  <c r="S12" i="19"/>
  <c r="S11" i="19"/>
  <c r="S10" i="19"/>
  <c r="S9" i="19"/>
  <c r="F9" i="19"/>
  <c r="E9" i="19"/>
  <c r="S8" i="19"/>
  <c r="K8" i="19"/>
  <c r="J8" i="19"/>
  <c r="S7" i="19"/>
  <c r="S6" i="19"/>
  <c r="S5" i="19"/>
  <c r="S4" i="19"/>
  <c r="S3" i="19"/>
  <c r="S21" i="18"/>
  <c r="S20" i="18"/>
  <c r="S19" i="18"/>
  <c r="S18" i="18"/>
  <c r="S17" i="18"/>
  <c r="S16" i="18"/>
  <c r="S15" i="18"/>
  <c r="S14" i="18"/>
  <c r="S13" i="18"/>
  <c r="S12" i="18"/>
  <c r="S11" i="18"/>
  <c r="S10" i="18"/>
  <c r="S9" i="18"/>
  <c r="F9" i="18"/>
  <c r="E9" i="18"/>
  <c r="S8" i="18"/>
  <c r="K8" i="18"/>
  <c r="J8" i="18"/>
  <c r="S7" i="18"/>
  <c r="S6" i="18"/>
  <c r="S5" i="18"/>
  <c r="S4" i="18"/>
  <c r="S3" i="18"/>
  <c r="S21" i="17"/>
  <c r="S20" i="17"/>
  <c r="S19" i="17"/>
  <c r="S18" i="17"/>
  <c r="S17" i="17"/>
  <c r="S16" i="17"/>
  <c r="S15" i="17"/>
  <c r="S14" i="17"/>
  <c r="S13" i="17"/>
  <c r="S12" i="17"/>
  <c r="S11" i="17"/>
  <c r="S10" i="17"/>
  <c r="S9" i="17"/>
  <c r="F9" i="17"/>
  <c r="E9" i="17"/>
  <c r="S8" i="17"/>
  <c r="K8" i="17"/>
  <c r="J8" i="17"/>
  <c r="S7" i="17"/>
  <c r="S6" i="17"/>
  <c r="S5" i="17"/>
  <c r="S4" i="17"/>
  <c r="S3" i="17"/>
  <c r="L42" i="16"/>
  <c r="S21" i="16"/>
  <c r="S20" i="16"/>
  <c r="S19" i="16"/>
  <c r="S18" i="16"/>
  <c r="S17" i="16"/>
  <c r="S16" i="16"/>
  <c r="S15" i="16"/>
  <c r="S14" i="16"/>
  <c r="S13" i="16"/>
  <c r="S12" i="16"/>
  <c r="S11" i="16"/>
  <c r="S10" i="16"/>
  <c r="S9" i="16"/>
  <c r="F9" i="16"/>
  <c r="E9" i="16"/>
  <c r="S8" i="16"/>
  <c r="K8" i="16"/>
  <c r="J8" i="16"/>
  <c r="S7" i="16"/>
  <c r="G7" i="16" s="1"/>
  <c r="G8" i="16" s="1"/>
  <c r="G9" i="16" s="1"/>
  <c r="S6" i="16"/>
  <c r="S5" i="16"/>
  <c r="S4" i="16"/>
  <c r="S3" i="16"/>
  <c r="S21" i="15"/>
  <c r="S20" i="15"/>
  <c r="S19" i="15"/>
  <c r="S18" i="15"/>
  <c r="S17" i="15"/>
  <c r="S16" i="15"/>
  <c r="S15" i="15"/>
  <c r="S14" i="15"/>
  <c r="S13" i="15"/>
  <c r="S12" i="15"/>
  <c r="S11" i="15"/>
  <c r="S10" i="15"/>
  <c r="S9" i="15"/>
  <c r="F9" i="15"/>
  <c r="E9" i="15"/>
  <c r="S8" i="15"/>
  <c r="K8" i="15"/>
  <c r="J8" i="15"/>
  <c r="S7" i="15"/>
  <c r="S6" i="15"/>
  <c r="S5" i="15"/>
  <c r="S4" i="15"/>
  <c r="S3" i="15"/>
  <c r="S21" i="29"/>
  <c r="S20" i="29"/>
  <c r="S19" i="29"/>
  <c r="S18" i="29"/>
  <c r="S17" i="29"/>
  <c r="S16" i="29"/>
  <c r="S15" i="29"/>
  <c r="S14" i="29"/>
  <c r="S13" i="29"/>
  <c r="S12" i="29"/>
  <c r="S11" i="29"/>
  <c r="S10" i="29"/>
  <c r="S9" i="29"/>
  <c r="F9" i="29"/>
  <c r="E9" i="29"/>
  <c r="S8" i="29"/>
  <c r="K8" i="29"/>
  <c r="J8" i="29"/>
  <c r="S7" i="29"/>
  <c r="G7" i="29" s="1"/>
  <c r="G8" i="29" s="1"/>
  <c r="G9" i="29" s="1"/>
  <c r="S6" i="29"/>
  <c r="S5" i="29"/>
  <c r="S4" i="29"/>
  <c r="S3" i="29"/>
  <c r="S21" i="28"/>
  <c r="S20" i="28"/>
  <c r="S19" i="28"/>
  <c r="S18" i="28"/>
  <c r="S17" i="28"/>
  <c r="S16" i="28"/>
  <c r="S15" i="28"/>
  <c r="S14" i="28"/>
  <c r="S13" i="28"/>
  <c r="S12" i="28"/>
  <c r="S11" i="28"/>
  <c r="S10" i="28"/>
  <c r="S9" i="28"/>
  <c r="F9" i="28"/>
  <c r="E9" i="28"/>
  <c r="S8" i="28"/>
  <c r="K8" i="28"/>
  <c r="J8" i="28"/>
  <c r="S7" i="28"/>
  <c r="S6" i="28"/>
  <c r="S5" i="28"/>
  <c r="S4" i="28"/>
  <c r="S3" i="28"/>
  <c r="S21" i="27"/>
  <c r="S20" i="27"/>
  <c r="S19" i="27"/>
  <c r="S18" i="27"/>
  <c r="S17" i="27"/>
  <c r="S16" i="27"/>
  <c r="S15" i="27"/>
  <c r="S14" i="27"/>
  <c r="S13" i="27"/>
  <c r="S12" i="27"/>
  <c r="S11" i="27"/>
  <c r="S10" i="27"/>
  <c r="S9" i="27"/>
  <c r="F9" i="27"/>
  <c r="E9" i="27"/>
  <c r="S8" i="27"/>
  <c r="K8" i="27"/>
  <c r="J8" i="27"/>
  <c r="S7" i="27"/>
  <c r="G7" i="27"/>
  <c r="G8" i="27" s="1"/>
  <c r="G9" i="27" s="1"/>
  <c r="S6" i="27"/>
  <c r="S5" i="27"/>
  <c r="S4" i="27"/>
  <c r="S3" i="27"/>
  <c r="G7" i="15" l="1"/>
  <c r="G8" i="15" s="1"/>
  <c r="G9" i="15" s="1"/>
  <c r="J11" i="32"/>
  <c r="AW57" i="4"/>
  <c r="G7" i="10"/>
  <c r="G8" i="10" s="1"/>
  <c r="G9" i="10" s="1"/>
  <c r="AV46" i="4"/>
  <c r="L10" i="32"/>
  <c r="AV55" i="4"/>
  <c r="L25" i="32"/>
  <c r="AV56" i="4"/>
  <c r="L23" i="32"/>
  <c r="AV57" i="4"/>
  <c r="L11" i="32"/>
  <c r="AV59" i="4"/>
  <c r="L7" i="32"/>
  <c r="L31" i="32"/>
  <c r="I34" i="32"/>
  <c r="L34" i="32" s="1"/>
  <c r="AV47" i="4"/>
  <c r="L22" i="32"/>
  <c r="G7" i="28"/>
  <c r="G8" i="28" s="1"/>
  <c r="G9" i="28" s="1"/>
  <c r="AV37" i="4"/>
  <c r="G7" i="19"/>
  <c r="G8" i="19" s="1"/>
  <c r="G9" i="19" s="1"/>
  <c r="G7" i="17"/>
  <c r="G8" i="17" s="1"/>
  <c r="G9" i="17" s="1"/>
  <c r="G7" i="18"/>
  <c r="G8" i="18" s="1"/>
  <c r="G9" i="18" s="1"/>
  <c r="S22" i="10"/>
  <c r="S22" i="19"/>
  <c r="S22" i="18"/>
  <c r="S22" i="17"/>
  <c r="S22" i="16"/>
  <c r="S22" i="15"/>
  <c r="S22" i="29"/>
  <c r="S22" i="28"/>
  <c r="S22" i="27"/>
  <c r="S22" i="11"/>
  <c r="S21" i="3"/>
  <c r="S20" i="3"/>
  <c r="S19" i="3"/>
  <c r="S18" i="3"/>
  <c r="S17" i="3"/>
  <c r="S16" i="3"/>
  <c r="S15" i="3"/>
  <c r="S14" i="3"/>
  <c r="S13" i="3"/>
  <c r="S12" i="3"/>
  <c r="S11" i="3"/>
  <c r="S10" i="3"/>
  <c r="S9" i="3"/>
  <c r="F9" i="3"/>
  <c r="E9" i="3"/>
  <c r="S8" i="3"/>
  <c r="K8" i="3"/>
  <c r="J8" i="3"/>
  <c r="S7" i="3"/>
  <c r="G7" i="3"/>
  <c r="G8" i="3" s="1"/>
  <c r="G9" i="3" s="1"/>
  <c r="S6" i="3"/>
  <c r="S5" i="3"/>
  <c r="AY57" i="4" l="1"/>
  <c r="L20" i="32"/>
  <c r="S4" i="3"/>
  <c r="S3" i="3"/>
  <c r="L57" i="26"/>
  <c r="L7" i="26" s="1"/>
  <c r="I16" i="32" s="1"/>
  <c r="S21" i="26"/>
  <c r="S20" i="26"/>
  <c r="S19" i="26"/>
  <c r="S18" i="26"/>
  <c r="S17" i="26"/>
  <c r="S16" i="26"/>
  <c r="S15" i="26"/>
  <c r="S14" i="26"/>
  <c r="S13" i="26"/>
  <c r="S12" i="26"/>
  <c r="S11" i="26"/>
  <c r="S10" i="26"/>
  <c r="S9" i="26"/>
  <c r="F9" i="26"/>
  <c r="E9" i="26"/>
  <c r="S8" i="26"/>
  <c r="K8" i="26"/>
  <c r="J8" i="26"/>
  <c r="S7" i="26"/>
  <c r="G7" i="26"/>
  <c r="G8" i="26" s="1"/>
  <c r="G9" i="26" s="1"/>
  <c r="S6" i="26"/>
  <c r="S5" i="26"/>
  <c r="S4" i="26"/>
  <c r="S3" i="26"/>
  <c r="L7" i="25"/>
  <c r="S21" i="25"/>
  <c r="S20" i="25"/>
  <c r="S19" i="25"/>
  <c r="S18" i="25"/>
  <c r="S17" i="25"/>
  <c r="S16" i="25"/>
  <c r="S15" i="25"/>
  <c r="S14" i="25"/>
  <c r="S13" i="25"/>
  <c r="S12" i="25"/>
  <c r="S11" i="25"/>
  <c r="S10" i="25"/>
  <c r="S9" i="25"/>
  <c r="F9" i="25"/>
  <c r="E9" i="25"/>
  <c r="S8" i="25"/>
  <c r="K8" i="25"/>
  <c r="J8" i="25"/>
  <c r="S7" i="25"/>
  <c r="G7" i="25" s="1"/>
  <c r="G8" i="25" s="1"/>
  <c r="G9" i="25" s="1"/>
  <c r="S6" i="25"/>
  <c r="S5" i="25"/>
  <c r="S4" i="25"/>
  <c r="S3" i="25"/>
  <c r="AW16" i="4" l="1"/>
  <c r="AY16" i="4" s="1"/>
  <c r="I8" i="32"/>
  <c r="J16" i="32"/>
  <c r="AW49" i="4"/>
  <c r="J8" i="32"/>
  <c r="AV16" i="4"/>
  <c r="L8" i="32"/>
  <c r="AV49" i="4"/>
  <c r="AV51" i="4" s="1"/>
  <c r="L16" i="32"/>
  <c r="S22" i="3"/>
  <c r="S22" i="26"/>
  <c r="S22" i="25"/>
  <c r="S21" i="24"/>
  <c r="S20" i="24"/>
  <c r="S19" i="24"/>
  <c r="S18" i="24"/>
  <c r="S17" i="24"/>
  <c r="S16" i="24"/>
  <c r="S15" i="24"/>
  <c r="S14" i="24"/>
  <c r="S13" i="24"/>
  <c r="S12" i="24"/>
  <c r="S11" i="24"/>
  <c r="S10" i="24"/>
  <c r="S9" i="24"/>
  <c r="F9" i="24"/>
  <c r="E9" i="24"/>
  <c r="S8" i="24"/>
  <c r="K8" i="24"/>
  <c r="S7" i="24"/>
  <c r="G7" i="24" s="1"/>
  <c r="G8" i="24" s="1"/>
  <c r="G9" i="24" s="1"/>
  <c r="S6" i="24"/>
  <c r="S5" i="24"/>
  <c r="S4" i="24"/>
  <c r="S3" i="24"/>
  <c r="L58" i="23"/>
  <c r="L7" i="23" s="1"/>
  <c r="I24" i="32" s="1"/>
  <c r="S21" i="23"/>
  <c r="S20" i="23"/>
  <c r="S19" i="23"/>
  <c r="S18" i="23"/>
  <c r="S17" i="23"/>
  <c r="S16" i="23"/>
  <c r="S15" i="23"/>
  <c r="S14" i="23"/>
  <c r="S13" i="23"/>
  <c r="S12" i="23"/>
  <c r="S11" i="23"/>
  <c r="S10" i="23"/>
  <c r="S9" i="23"/>
  <c r="F9" i="23"/>
  <c r="E9" i="23"/>
  <c r="S8" i="23"/>
  <c r="K8" i="23"/>
  <c r="J8" i="23"/>
  <c r="S7" i="23"/>
  <c r="G7" i="23"/>
  <c r="G8" i="23" s="1"/>
  <c r="G9" i="23" s="1"/>
  <c r="S6" i="23"/>
  <c r="S5" i="23"/>
  <c r="S4" i="23"/>
  <c r="S3" i="23"/>
  <c r="L41" i="22"/>
  <c r="L7" i="22" s="1"/>
  <c r="I15" i="32" s="1"/>
  <c r="S21" i="22"/>
  <c r="S20" i="22"/>
  <c r="S19" i="22"/>
  <c r="S18" i="22"/>
  <c r="S17" i="22"/>
  <c r="S16" i="22"/>
  <c r="S15" i="22"/>
  <c r="S14" i="22"/>
  <c r="S13" i="22"/>
  <c r="S12" i="22"/>
  <c r="S11" i="22"/>
  <c r="S10" i="22"/>
  <c r="S9" i="22"/>
  <c r="F9" i="22"/>
  <c r="E9" i="22"/>
  <c r="S8" i="22"/>
  <c r="K8" i="22"/>
  <c r="J8" i="22"/>
  <c r="S7" i="22"/>
  <c r="J15" i="32" l="1"/>
  <c r="AW35" i="4"/>
  <c r="AY35" i="4" s="1"/>
  <c r="AY49" i="4"/>
  <c r="AW51" i="4"/>
  <c r="AY51" i="4" s="1"/>
  <c r="S22" i="24"/>
  <c r="J24" i="32"/>
  <c r="AW36" i="4"/>
  <c r="AV35" i="4"/>
  <c r="L15" i="32"/>
  <c r="AV14" i="4"/>
  <c r="AV36" i="4"/>
  <c r="L24" i="32"/>
  <c r="S22" i="23"/>
  <c r="G7" i="22"/>
  <c r="G8" i="22" s="1"/>
  <c r="G9" i="22" s="1"/>
  <c r="S6" i="22"/>
  <c r="S5" i="22"/>
  <c r="S4" i="22"/>
  <c r="S3" i="22"/>
  <c r="L41" i="21"/>
  <c r="L7" i="21" s="1"/>
  <c r="I19" i="32" s="1"/>
  <c r="S21" i="21"/>
  <c r="S20" i="21"/>
  <c r="S19" i="21"/>
  <c r="S18" i="21"/>
  <c r="S17" i="21"/>
  <c r="S16" i="21"/>
  <c r="S15" i="21"/>
  <c r="S14" i="21"/>
  <c r="S13" i="21"/>
  <c r="S12" i="21"/>
  <c r="S11" i="21"/>
  <c r="S10" i="21"/>
  <c r="S9" i="21"/>
  <c r="F9" i="21"/>
  <c r="E9" i="21"/>
  <c r="S8" i="21"/>
  <c r="K8" i="21"/>
  <c r="J8" i="21"/>
  <c r="S7" i="21"/>
  <c r="G7" i="21" s="1"/>
  <c r="G8" i="21" s="1"/>
  <c r="G9" i="21" s="1"/>
  <c r="S6" i="21"/>
  <c r="S5" i="21"/>
  <c r="S4" i="21"/>
  <c r="S3" i="21"/>
  <c r="S21" i="20"/>
  <c r="S20" i="20"/>
  <c r="S19" i="20"/>
  <c r="S18" i="20"/>
  <c r="S17" i="20"/>
  <c r="S16" i="20"/>
  <c r="S15" i="20"/>
  <c r="S14" i="20"/>
  <c r="S13" i="20"/>
  <c r="S12" i="20"/>
  <c r="S11" i="20"/>
  <c r="S10" i="20"/>
  <c r="S9" i="20"/>
  <c r="F9" i="20"/>
  <c r="E9" i="20"/>
  <c r="S8" i="20"/>
  <c r="K8" i="20"/>
  <c r="J8" i="20"/>
  <c r="S7" i="20"/>
  <c r="S6" i="20"/>
  <c r="S5" i="20"/>
  <c r="S4" i="20"/>
  <c r="S3" i="20"/>
  <c r="L7" i="9"/>
  <c r="I17" i="32" s="1"/>
  <c r="S21" i="9"/>
  <c r="S20" i="9"/>
  <c r="S19" i="9"/>
  <c r="S18" i="9"/>
  <c r="S17" i="9"/>
  <c r="S16" i="9"/>
  <c r="S15" i="9"/>
  <c r="S14" i="9"/>
  <c r="S13" i="9"/>
  <c r="S12" i="9"/>
  <c r="S11" i="9"/>
  <c r="S10" i="9"/>
  <c r="S9" i="9"/>
  <c r="F9" i="9"/>
  <c r="E9" i="9"/>
  <c r="S8" i="9"/>
  <c r="K8" i="9"/>
  <c r="J8" i="9"/>
  <c r="S7" i="9"/>
  <c r="G7" i="9"/>
  <c r="G8" i="9" s="1"/>
  <c r="G9" i="9" s="1"/>
  <c r="S6" i="9"/>
  <c r="S5" i="9"/>
  <c r="S4" i="9"/>
  <c r="S3" i="9"/>
  <c r="J19" i="32" l="1"/>
  <c r="AW30" i="4"/>
  <c r="AY30" i="4" s="1"/>
  <c r="AY36" i="4"/>
  <c r="J17" i="32"/>
  <c r="AW25" i="4"/>
  <c r="AY25" i="4" s="1"/>
  <c r="L5" i="32"/>
  <c r="AV26" i="4"/>
  <c r="L6" i="32"/>
  <c r="AV30" i="4"/>
  <c r="L19" i="32"/>
  <c r="AV25" i="4"/>
  <c r="G7" i="20"/>
  <c r="G8" i="20" s="1"/>
  <c r="G9" i="20" s="1"/>
  <c r="S22" i="22"/>
  <c r="S22" i="21"/>
  <c r="S22" i="20"/>
  <c r="S22" i="9"/>
  <c r="L43" i="8"/>
  <c r="L7" i="8" s="1"/>
  <c r="I21" i="32" s="1"/>
  <c r="S21" i="8"/>
  <c r="S20" i="8"/>
  <c r="S19" i="8"/>
  <c r="S18" i="8"/>
  <c r="S17" i="8"/>
  <c r="S16" i="8"/>
  <c r="S15" i="8"/>
  <c r="S14" i="8"/>
  <c r="S13" i="8"/>
  <c r="S12" i="8"/>
  <c r="S11" i="8"/>
  <c r="S10" i="8"/>
  <c r="S9" i="8"/>
  <c r="F9" i="8"/>
  <c r="E9" i="8"/>
  <c r="S8" i="8"/>
  <c r="K8" i="8"/>
  <c r="J8" i="8"/>
  <c r="S7" i="8"/>
  <c r="G7" i="8"/>
  <c r="G8" i="8" s="1"/>
  <c r="G9" i="8" s="1"/>
  <c r="S6" i="8"/>
  <c r="S5" i="8"/>
  <c r="S4" i="8"/>
  <c r="S3" i="8"/>
  <c r="L34" i="7"/>
  <c r="L7" i="7" s="1"/>
  <c r="I18" i="32" s="1"/>
  <c r="S21" i="7"/>
  <c r="S20" i="7"/>
  <c r="S19" i="7"/>
  <c r="S18" i="7"/>
  <c r="S17" i="7"/>
  <c r="S16" i="7"/>
  <c r="S15" i="7"/>
  <c r="S14" i="7"/>
  <c r="S13" i="7"/>
  <c r="S12" i="7"/>
  <c r="S11" i="7"/>
  <c r="S10" i="7"/>
  <c r="S9" i="7"/>
  <c r="F9" i="7"/>
  <c r="E9" i="7"/>
  <c r="S8" i="7"/>
  <c r="K8" i="7"/>
  <c r="S7" i="7"/>
  <c r="G7" i="7" s="1"/>
  <c r="G8" i="7" s="1"/>
  <c r="G9" i="7" s="1"/>
  <c r="S6" i="7"/>
  <c r="S5" i="7"/>
  <c r="S4" i="7"/>
  <c r="S3" i="7"/>
  <c r="L33" i="6"/>
  <c r="L7" i="6" s="1"/>
  <c r="I14" i="32" s="1"/>
  <c r="S21" i="6"/>
  <c r="S20" i="6"/>
  <c r="S19" i="6"/>
  <c r="S18" i="6"/>
  <c r="S17" i="6"/>
  <c r="S16" i="6"/>
  <c r="S15" i="6"/>
  <c r="S14" i="6"/>
  <c r="S13" i="6"/>
  <c r="S12" i="6"/>
  <c r="S11" i="6"/>
  <c r="S10" i="6"/>
  <c r="S9" i="6"/>
  <c r="F9" i="6"/>
  <c r="E9" i="6"/>
  <c r="S8" i="6"/>
  <c r="K8" i="6"/>
  <c r="J8" i="6"/>
  <c r="S7" i="6"/>
  <c r="G7" i="6"/>
  <c r="S6" i="6"/>
  <c r="J18" i="32" l="1"/>
  <c r="AW13" i="4"/>
  <c r="J14" i="32"/>
  <c r="AW9" i="4"/>
  <c r="AW38" i="4"/>
  <c r="AY38" i="4" s="1"/>
  <c r="J21" i="32"/>
  <c r="AW20" i="4"/>
  <c r="AV13" i="4"/>
  <c r="L18" i="32"/>
  <c r="AV9" i="4"/>
  <c r="L14" i="32"/>
  <c r="AV20" i="4"/>
  <c r="L21" i="32"/>
  <c r="L17" i="32"/>
  <c r="S22" i="8"/>
  <c r="G8" i="6"/>
  <c r="G9" i="6" s="1"/>
  <c r="S22" i="7"/>
  <c r="S5" i="6"/>
  <c r="S4" i="6"/>
  <c r="S3" i="6"/>
  <c r="L33" i="5"/>
  <c r="S21" i="5"/>
  <c r="D68" i="32" s="1"/>
  <c r="S20" i="5"/>
  <c r="D77" i="32" s="1"/>
  <c r="S19" i="5"/>
  <c r="D75" i="32" s="1"/>
  <c r="S18" i="5"/>
  <c r="D70" i="32" s="1"/>
  <c r="S17" i="5"/>
  <c r="D73" i="32" s="1"/>
  <c r="S16" i="5"/>
  <c r="D76" i="32" s="1"/>
  <c r="S15" i="5"/>
  <c r="D67" i="32" s="1"/>
  <c r="S14" i="5"/>
  <c r="D74" i="32" s="1"/>
  <c r="S13" i="5"/>
  <c r="D69" i="32" s="1"/>
  <c r="S12" i="5"/>
  <c r="D71" i="32" s="1"/>
  <c r="S11" i="5"/>
  <c r="D72" i="32" s="1"/>
  <c r="S10" i="5"/>
  <c r="D57" i="32" s="1"/>
  <c r="S9" i="5"/>
  <c r="D59" i="32" s="1"/>
  <c r="G9" i="5"/>
  <c r="F9" i="5"/>
  <c r="E9" i="5"/>
  <c r="S8" i="5"/>
  <c r="D58" i="32" s="1"/>
  <c r="S7" i="5"/>
  <c r="D62" i="32" s="1"/>
  <c r="G7" i="5"/>
  <c r="S6" i="5"/>
  <c r="D61" i="32" s="1"/>
  <c r="S5" i="5"/>
  <c r="D60" i="32" s="1"/>
  <c r="S4" i="5"/>
  <c r="D63" i="32" s="1"/>
  <c r="S3" i="5"/>
  <c r="D64" i="32" s="1"/>
  <c r="AP94" i="4"/>
  <c r="L7" i="5" l="1"/>
  <c r="AY13" i="4"/>
  <c r="AY9" i="4"/>
  <c r="AY20" i="4"/>
  <c r="D78" i="32"/>
  <c r="D65" i="32"/>
  <c r="AV15" i="4"/>
  <c r="AV8" i="4"/>
  <c r="S22" i="5"/>
  <c r="S22" i="6"/>
  <c r="AI76" i="4"/>
  <c r="AK74" i="4"/>
  <c r="AI74" i="4"/>
  <c r="Z74" i="4"/>
  <c r="Y74" i="4"/>
  <c r="X74" i="4"/>
  <c r="W74" i="4"/>
  <c r="V74" i="4"/>
  <c r="U74" i="4"/>
  <c r="R74" i="4"/>
  <c r="Q74" i="4"/>
  <c r="P74" i="4"/>
  <c r="O74" i="4"/>
  <c r="M74" i="4"/>
  <c r="G74" i="4"/>
  <c r="I12" i="32" l="1"/>
  <c r="J12" i="32"/>
  <c r="AW15" i="4"/>
  <c r="AW23" i="4"/>
  <c r="AY23" i="4" s="1"/>
  <c r="AW8" i="4"/>
  <c r="AW22" i="4"/>
  <c r="AY22" i="4" s="1"/>
  <c r="AW21" i="4"/>
  <c r="AW58" i="4"/>
  <c r="AW24" i="4"/>
  <c r="AY24" i="4" s="1"/>
  <c r="AA74" i="4"/>
  <c r="D80" i="32"/>
  <c r="AV17" i="4"/>
  <c r="AV60" i="4"/>
  <c r="AV10" i="4"/>
  <c r="AV43" i="4"/>
  <c r="AY43" i="4" s="1"/>
  <c r="AV38" i="4"/>
  <c r="AV27" i="4"/>
  <c r="AV74" i="4"/>
  <c r="AQ73" i="4"/>
  <c r="AL73" i="4"/>
  <c r="AI73" i="4"/>
  <c r="AA73" i="4"/>
  <c r="AQ72" i="4"/>
  <c r="AL72" i="4"/>
  <c r="AI72" i="4"/>
  <c r="AA72" i="4"/>
  <c r="AI71" i="4"/>
  <c r="AA71" i="4"/>
  <c r="K71" i="4"/>
  <c r="AI70" i="4"/>
  <c r="AA70" i="4"/>
  <c r="K70" i="4"/>
  <c r="AI69" i="4"/>
  <c r="AA69" i="4"/>
  <c r="K69" i="4"/>
  <c r="AQ68" i="4"/>
  <c r="AL68" i="4"/>
  <c r="AI68" i="4"/>
  <c r="AA68" i="4"/>
  <c r="N68" i="4"/>
  <c r="N74" i="4" s="1"/>
  <c r="S74" i="4" s="1"/>
  <c r="F68" i="4"/>
  <c r="F74" i="4" s="1"/>
  <c r="AQ67" i="4"/>
  <c r="AL67" i="4"/>
  <c r="AI67" i="4"/>
  <c r="AA67" i="4"/>
  <c r="AL66" i="4"/>
  <c r="AI66" i="4"/>
  <c r="AA66" i="4"/>
  <c r="AI65" i="4"/>
  <c r="AA65" i="4"/>
  <c r="AY58" i="4" l="1"/>
  <c r="AW60" i="4"/>
  <c r="AY60" i="4" s="1"/>
  <c r="AY21" i="4"/>
  <c r="AW27" i="4"/>
  <c r="AY27" i="4" s="1"/>
  <c r="AY15" i="4"/>
  <c r="AW17" i="4"/>
  <c r="AY17" i="4" s="1"/>
  <c r="AY8" i="4"/>
  <c r="AW10" i="4"/>
  <c r="L12" i="32"/>
  <c r="I26" i="32"/>
  <c r="H74" i="4"/>
  <c r="J74" i="4"/>
  <c r="AV62" i="4"/>
  <c r="AL74" i="4"/>
  <c r="K66" i="4"/>
  <c r="K67" i="4"/>
  <c r="E74" i="4"/>
  <c r="I74" i="4"/>
  <c r="K65" i="4"/>
  <c r="AO74" i="4"/>
  <c r="AQ66" i="4"/>
  <c r="AN74" i="4"/>
  <c r="AI62" i="4"/>
  <c r="P62" i="4"/>
  <c r="AK60" i="4"/>
  <c r="AI60" i="4"/>
  <c r="Z60" i="4"/>
  <c r="Y60" i="4"/>
  <c r="X60" i="4"/>
  <c r="W60" i="4"/>
  <c r="V60" i="4"/>
  <c r="U60" i="4"/>
  <c r="R60" i="4"/>
  <c r="Q60" i="4"/>
  <c r="O60" i="4"/>
  <c r="N60" i="4"/>
  <c r="G60" i="4"/>
  <c r="F60" i="4"/>
  <c r="AQ59" i="4"/>
  <c r="AL59" i="4"/>
  <c r="AI59" i="4"/>
  <c r="AA59" i="4"/>
  <c r="M59" i="4"/>
  <c r="K58" i="4"/>
  <c r="AQ57" i="4"/>
  <c r="AL57" i="4"/>
  <c r="AI57" i="4"/>
  <c r="AA57" i="4"/>
  <c r="AQ56" i="4"/>
  <c r="AL56" i="4"/>
  <c r="AI56" i="4"/>
  <c r="AA56" i="4"/>
  <c r="AQ55" i="4"/>
  <c r="AL55" i="4"/>
  <c r="AI55" i="4"/>
  <c r="AA55" i="4"/>
  <c r="AO60" i="4"/>
  <c r="AN60" i="4"/>
  <c r="AM60" i="4"/>
  <c r="AL54" i="4"/>
  <c r="AI54" i="4"/>
  <c r="AA54" i="4"/>
  <c r="AQ50" i="4"/>
  <c r="AL50" i="4"/>
  <c r="AI50" i="4"/>
  <c r="AA50" i="4"/>
  <c r="AQ48" i="4"/>
  <c r="AL48" i="4"/>
  <c r="AI48" i="4"/>
  <c r="AA48" i="4"/>
  <c r="S48" i="4"/>
  <c r="AQ47" i="4"/>
  <c r="AL47" i="4"/>
  <c r="AI47" i="4"/>
  <c r="AA47" i="4"/>
  <c r="S47" i="4"/>
  <c r="AL46" i="4"/>
  <c r="AI46" i="4"/>
  <c r="AA46" i="4"/>
  <c r="V46" i="4"/>
  <c r="V51" i="4" s="1"/>
  <c r="AI43" i="4"/>
  <c r="AQ37" i="4"/>
  <c r="AL37" i="4"/>
  <c r="AI37" i="4"/>
  <c r="AA37" i="4"/>
  <c r="AQ49" i="4"/>
  <c r="AL49" i="4"/>
  <c r="AI49" i="4"/>
  <c r="AA49" i="4"/>
  <c r="AQ16" i="4"/>
  <c r="AL16" i="4"/>
  <c r="AI16" i="4"/>
  <c r="AA16" i="4"/>
  <c r="AI42" i="4"/>
  <c r="K42" i="4"/>
  <c r="AI41" i="4"/>
  <c r="K41" i="4"/>
  <c r="AI15" i="4"/>
  <c r="AL14" i="4"/>
  <c r="AI14" i="4"/>
  <c r="V14" i="4"/>
  <c r="U14" i="4"/>
  <c r="AA14" i="4" s="1"/>
  <c r="AI38" i="4"/>
  <c r="Z38" i="4"/>
  <c r="Y38" i="4"/>
  <c r="X38" i="4"/>
  <c r="W38" i="4"/>
  <c r="R38" i="4"/>
  <c r="Q38" i="4"/>
  <c r="O38" i="4"/>
  <c r="N38" i="4"/>
  <c r="M38" i="4"/>
  <c r="G38" i="4"/>
  <c r="F38" i="4"/>
  <c r="AQ36" i="4"/>
  <c r="AL36" i="4"/>
  <c r="AI36" i="4"/>
  <c r="AA36" i="4"/>
  <c r="AQ35" i="4"/>
  <c r="AL35" i="4"/>
  <c r="AI35" i="4"/>
  <c r="AA35" i="4"/>
  <c r="AM38" i="4"/>
  <c r="AI34" i="4"/>
  <c r="V34" i="4"/>
  <c r="U34" i="4"/>
  <c r="AI33" i="4"/>
  <c r="V33" i="4"/>
  <c r="U33" i="4"/>
  <c r="AI32" i="4"/>
  <c r="V32" i="4"/>
  <c r="U32" i="4"/>
  <c r="AI31" i="4"/>
  <c r="V31" i="4"/>
  <c r="U31" i="4"/>
  <c r="AL30" i="4"/>
  <c r="AI30" i="4"/>
  <c r="AI27" i="4"/>
  <c r="Z27" i="4"/>
  <c r="Y27" i="4"/>
  <c r="X27" i="4"/>
  <c r="W27" i="4"/>
  <c r="R27" i="4"/>
  <c r="Q27" i="4"/>
  <c r="O27" i="4"/>
  <c r="N27" i="4"/>
  <c r="G27" i="4"/>
  <c r="F27" i="4"/>
  <c r="AY10" i="4" l="1"/>
  <c r="AW62" i="4"/>
  <c r="AL38" i="4"/>
  <c r="L26" i="32"/>
  <c r="I36" i="32"/>
  <c r="AL60" i="4"/>
  <c r="U30" i="4"/>
  <c r="U38" i="4" s="1"/>
  <c r="AA38" i="4" s="1"/>
  <c r="E38" i="4"/>
  <c r="E60" i="4"/>
  <c r="H51" i="4"/>
  <c r="J51" i="4"/>
  <c r="K51" i="4" s="1"/>
  <c r="AL51" i="4"/>
  <c r="E51" i="4"/>
  <c r="I51" i="4"/>
  <c r="H38" i="4"/>
  <c r="J38" i="4"/>
  <c r="K38" i="4" s="1"/>
  <c r="P76" i="4"/>
  <c r="P88" i="4"/>
  <c r="J60" i="4"/>
  <c r="K60" i="4" s="1"/>
  <c r="AV76" i="4"/>
  <c r="H60" i="4"/>
  <c r="K47" i="4"/>
  <c r="I60" i="4"/>
  <c r="K59" i="4"/>
  <c r="Q43" i="4"/>
  <c r="Q62" i="4" s="1"/>
  <c r="O43" i="4"/>
  <c r="O62" i="4" s="1"/>
  <c r="R43" i="4"/>
  <c r="R62" i="4" s="1"/>
  <c r="I38" i="4"/>
  <c r="AA32" i="4"/>
  <c r="AA34" i="4"/>
  <c r="AA31" i="4"/>
  <c r="AA33" i="4"/>
  <c r="M60" i="4"/>
  <c r="AA60" i="4"/>
  <c r="S60" i="4"/>
  <c r="S38" i="4"/>
  <c r="AA30" i="4"/>
  <c r="V30" i="4" s="1"/>
  <c r="V38" i="4" s="1"/>
  <c r="S27" i="4"/>
  <c r="K30" i="4"/>
  <c r="K14" i="4"/>
  <c r="K16" i="4"/>
  <c r="K49" i="4"/>
  <c r="K37" i="4"/>
  <c r="K35" i="4"/>
  <c r="K46" i="4"/>
  <c r="K50" i="4"/>
  <c r="K55" i="4"/>
  <c r="K56" i="4"/>
  <c r="K57" i="4"/>
  <c r="AQ60" i="4"/>
  <c r="AQ38" i="4"/>
  <c r="AQ30" i="4"/>
  <c r="AQ46" i="4"/>
  <c r="AQ54" i="4"/>
  <c r="AQ14" i="4"/>
  <c r="AL26" i="4"/>
  <c r="AK26" i="4"/>
  <c r="AI26" i="4"/>
  <c r="V26" i="4"/>
  <c r="U26" i="4"/>
  <c r="AQ25" i="4"/>
  <c r="AL25" i="4"/>
  <c r="AI25" i="4"/>
  <c r="AA25" i="4"/>
  <c r="AI24" i="4"/>
  <c r="AI23" i="4"/>
  <c r="AI22" i="4"/>
  <c r="AI21" i="4"/>
  <c r="AO27" i="4"/>
  <c r="AN27" i="4"/>
  <c r="AL20" i="4"/>
  <c r="AI20" i="4"/>
  <c r="Y20" i="4"/>
  <c r="X20" i="4"/>
  <c r="W20" i="4"/>
  <c r="V20" i="4"/>
  <c r="U20" i="4"/>
  <c r="AI17" i="4"/>
  <c r="Z17" i="4"/>
  <c r="Z43" i="4" s="1"/>
  <c r="X17" i="4"/>
  <c r="V17" i="4"/>
  <c r="U17" i="4"/>
  <c r="N17" i="4"/>
  <c r="M17" i="4"/>
  <c r="G17" i="4"/>
  <c r="G43" i="4" s="1"/>
  <c r="AL13" i="4"/>
  <c r="AL17" i="4" s="1"/>
  <c r="AI13" i="4"/>
  <c r="AA13" i="4"/>
  <c r="F13" i="4"/>
  <c r="AK10" i="4"/>
  <c r="AI10" i="4"/>
  <c r="Z10" i="4"/>
  <c r="V10" i="4"/>
  <c r="U10" i="4"/>
  <c r="S10" i="4"/>
  <c r="N10" i="4"/>
  <c r="M10" i="4"/>
  <c r="K10" i="4"/>
  <c r="J10" i="4"/>
  <c r="I10" i="4"/>
  <c r="H10" i="4"/>
  <c r="G10" i="4"/>
  <c r="F10" i="4"/>
  <c r="E10" i="4"/>
  <c r="AQ9" i="4"/>
  <c r="AL9" i="4"/>
  <c r="AI9" i="4"/>
  <c r="AA9" i="4"/>
  <c r="AM10" i="4"/>
  <c r="AL8" i="4"/>
  <c r="AI8" i="4"/>
  <c r="AA8" i="4"/>
  <c r="AY62" i="4" l="1"/>
  <c r="AW76" i="4"/>
  <c r="L36" i="32"/>
  <c r="I44" i="32"/>
  <c r="D82" i="32"/>
  <c r="D83" i="32" s="1"/>
  <c r="E27" i="4"/>
  <c r="AL27" i="4"/>
  <c r="AK27" i="4" s="1"/>
  <c r="AK62" i="4" s="1"/>
  <c r="AV84" i="4"/>
  <c r="AV88" i="4" s="1"/>
  <c r="Q76" i="4"/>
  <c r="Q88" i="4"/>
  <c r="O76" i="4"/>
  <c r="O88" i="4"/>
  <c r="R76" i="4"/>
  <c r="R88" i="4"/>
  <c r="S88" i="4" s="1"/>
  <c r="J27" i="4"/>
  <c r="V27" i="4"/>
  <c r="V43" i="4" s="1"/>
  <c r="X43" i="4"/>
  <c r="K13" i="4"/>
  <c r="AQ43" i="4"/>
  <c r="K20" i="4"/>
  <c r="AM27" i="4"/>
  <c r="AM62" i="4" s="1"/>
  <c r="AM88" i="4" s="1"/>
  <c r="N43" i="4"/>
  <c r="S43" i="4" s="1"/>
  <c r="AA17" i="4"/>
  <c r="AL10" i="4"/>
  <c r="U27" i="4"/>
  <c r="AA27" i="4" s="1"/>
  <c r="AA10" i="4"/>
  <c r="Z62" i="4"/>
  <c r="Z88" i="4" s="1"/>
  <c r="AA26" i="4"/>
  <c r="S17" i="4"/>
  <c r="F17" i="4"/>
  <c r="G62" i="4"/>
  <c r="G88" i="4" s="1"/>
  <c r="AO10" i="4"/>
  <c r="AO62" i="4" s="1"/>
  <c r="AO88" i="4" s="1"/>
  <c r="J17" i="4"/>
  <c r="Y17" i="4"/>
  <c r="Y43" i="4" s="1"/>
  <c r="M27" i="4"/>
  <c r="M43" i="4" s="1"/>
  <c r="Y10" i="4"/>
  <c r="E17" i="4"/>
  <c r="W17" i="4"/>
  <c r="W43" i="4" s="1"/>
  <c r="I27" i="4"/>
  <c r="H27" i="4" s="1"/>
  <c r="K25" i="4"/>
  <c r="AN10" i="4"/>
  <c r="AN62" i="4" s="1"/>
  <c r="AN88" i="4" s="1"/>
  <c r="AQ17" i="4"/>
  <c r="AQ10" i="4"/>
  <c r="AQ8" i="4"/>
  <c r="AQ13" i="4"/>
  <c r="AQ20" i="4"/>
  <c r="AQ26" i="4"/>
  <c r="I48" i="32" l="1"/>
  <c r="L48" i="32" s="1"/>
  <c r="L44" i="32"/>
  <c r="AY76" i="4"/>
  <c r="AW84" i="4"/>
  <c r="AW88" i="4" s="1"/>
  <c r="AY88" i="4" s="1"/>
  <c r="AQ27" i="4"/>
  <c r="J43" i="4"/>
  <c r="J62" i="4" s="1"/>
  <c r="J88" i="4" s="1"/>
  <c r="AK76" i="4"/>
  <c r="AQ76" i="4" s="1"/>
  <c r="AK88" i="4"/>
  <c r="AQ88" i="4" s="1"/>
  <c r="AN76" i="4"/>
  <c r="AN84" i="4" s="1"/>
  <c r="AM76" i="4"/>
  <c r="AM84" i="4" s="1"/>
  <c r="AL62" i="4"/>
  <c r="N62" i="4"/>
  <c r="U43" i="4"/>
  <c r="AA43" i="4" s="1"/>
  <c r="E43" i="4"/>
  <c r="E62" i="4" s="1"/>
  <c r="E88" i="4" s="1"/>
  <c r="F43" i="4"/>
  <c r="F62" i="4" s="1"/>
  <c r="F88" i="4" s="1"/>
  <c r="AO76" i="4"/>
  <c r="AO84" i="4" s="1"/>
  <c r="AQ62" i="4"/>
  <c r="K27" i="4"/>
  <c r="M62" i="4"/>
  <c r="I17" i="4"/>
  <c r="I43" i="4" s="1"/>
  <c r="X10" i="4"/>
  <c r="Y62" i="4"/>
  <c r="AQ74" i="4"/>
  <c r="K88" i="4" l="1"/>
  <c r="AL76" i="4"/>
  <c r="AL84" i="4" s="1"/>
  <c r="AL88" i="4"/>
  <c r="N76" i="4"/>
  <c r="N88" i="4"/>
  <c r="Y76" i="4"/>
  <c r="Y88" i="4"/>
  <c r="M76" i="4"/>
  <c r="M88" i="4"/>
  <c r="K62" i="4"/>
  <c r="K43" i="4"/>
  <c r="W10" i="4"/>
  <c r="W62" i="4" s="1"/>
  <c r="X62" i="4"/>
  <c r="H17" i="4"/>
  <c r="I62" i="4"/>
  <c r="I88" i="4" s="1"/>
  <c r="V62" i="4" l="1"/>
  <c r="V88" i="4" s="1"/>
  <c r="W88" i="4"/>
  <c r="X76" i="4"/>
  <c r="X88" i="4"/>
  <c r="H43" i="4"/>
  <c r="H62" i="4" s="1"/>
  <c r="H88" i="4" s="1"/>
  <c r="W76" i="4"/>
  <c r="U62" i="4"/>
  <c r="U88" i="4" s="1"/>
  <c r="AA88" i="4" s="1"/>
  <c r="V76" i="4" l="1"/>
  <c r="U76" i="4"/>
  <c r="AA62" i="4"/>
  <c r="Z76" i="4"/>
  <c r="AP106" i="4"/>
  <c r="AQ106" i="4" s="1"/>
  <c r="AQ94" i="4"/>
  <c r="AA76" i="4" l="1"/>
</calcChain>
</file>

<file path=xl/comments1.xml><?xml version="1.0" encoding="utf-8"?>
<comments xmlns="http://schemas.openxmlformats.org/spreadsheetml/2006/main">
  <authors>
    <author>ravalp</author>
    <author>mohilea</author>
    <author>dahera</author>
  </authors>
  <commentList>
    <comment ref="Z9" authorId="0">
      <text>
        <r>
          <rPr>
            <b/>
            <sz val="8"/>
            <color indexed="81"/>
            <rFont val="Tahoma"/>
            <family val="2"/>
          </rPr>
          <t>ravalp:</t>
        </r>
        <r>
          <rPr>
            <sz val="8"/>
            <color indexed="81"/>
            <rFont val="Tahoma"/>
            <family val="2"/>
          </rPr>
          <t xml:space="preserve">
Manual adjustment done based on OC's directions to correct the wrong recovery of IT costs from Council Services .Caroline's email dated 7th April 2011.</t>
        </r>
      </text>
    </comment>
    <comment ref="Z25" authorId="0">
      <text>
        <r>
          <rPr>
            <sz val="8"/>
            <color indexed="81"/>
            <rFont val="Tahoma"/>
            <family val="2"/>
          </rPr>
          <t>ravalp:
Manual adjustment done based on OC's directions to correct the wrong recovery of IT costs from Council Services .Caroline's email dated 7th April 2011.</t>
        </r>
      </text>
    </comment>
    <comment ref="AC26" authorId="1">
      <text>
        <r>
          <rPr>
            <b/>
            <sz val="8"/>
            <color indexed="81"/>
            <rFont val="Tahoma"/>
            <family val="2"/>
          </rPr>
          <t>mohilea:</t>
        </r>
        <r>
          <rPr>
            <sz val="8"/>
            <color indexed="81"/>
            <rFont val="Tahoma"/>
            <family val="2"/>
          </rPr>
          <t xml:space="preserve">
BSR $1.5 m deducted</t>
        </r>
      </text>
    </comment>
    <comment ref="AD26" authorId="1">
      <text>
        <r>
          <rPr>
            <b/>
            <sz val="8"/>
            <color indexed="81"/>
            <rFont val="Tahoma"/>
            <family val="2"/>
          </rPr>
          <t>mohilea:</t>
        </r>
        <r>
          <rPr>
            <sz val="8"/>
            <color indexed="81"/>
            <rFont val="Tahoma"/>
            <family val="2"/>
          </rPr>
          <t xml:space="preserve">
BSR $1.5 m deducted</t>
        </r>
      </text>
    </comment>
    <comment ref="AK26" authorId="1">
      <text>
        <r>
          <rPr>
            <b/>
            <sz val="8"/>
            <color indexed="81"/>
            <rFont val="Tahoma"/>
            <family val="2"/>
          </rPr>
          <t>mohilea:</t>
        </r>
        <r>
          <rPr>
            <sz val="8"/>
            <color indexed="81"/>
            <rFont val="Tahoma"/>
            <family val="2"/>
          </rPr>
          <t xml:space="preserve">
BSR $1.5 m deducted</t>
        </r>
      </text>
    </comment>
    <comment ref="AL26" authorId="1">
      <text>
        <r>
          <rPr>
            <b/>
            <sz val="8"/>
            <color indexed="81"/>
            <rFont val="Tahoma"/>
            <family val="2"/>
          </rPr>
          <t>mohilea:</t>
        </r>
        <r>
          <rPr>
            <sz val="8"/>
            <color indexed="81"/>
            <rFont val="Tahoma"/>
            <family val="2"/>
          </rPr>
          <t xml:space="preserve">
BSR $1.5 m deducted</t>
        </r>
      </text>
    </comment>
    <comment ref="AS26" authorId="1">
      <text>
        <r>
          <rPr>
            <b/>
            <sz val="8"/>
            <color indexed="81"/>
            <rFont val="Tahoma"/>
            <family val="2"/>
          </rPr>
          <t>ansonc:</t>
        </r>
        <r>
          <rPr>
            <sz val="8"/>
            <color indexed="81"/>
            <rFont val="Tahoma"/>
            <family val="2"/>
          </rPr>
          <t xml:space="preserve">
BSR $2.5 m not deducted</t>
        </r>
      </text>
    </comment>
    <comment ref="AT26" authorId="1">
      <text>
        <r>
          <rPr>
            <b/>
            <sz val="8"/>
            <color indexed="81"/>
            <rFont val="Tahoma"/>
            <family val="2"/>
          </rPr>
          <t>ansonc:</t>
        </r>
        <r>
          <rPr>
            <sz val="8"/>
            <color indexed="81"/>
            <rFont val="Tahoma"/>
            <family val="2"/>
          </rPr>
          <t xml:space="preserve">
BSR $2.5 m deducted</t>
        </r>
      </text>
    </comment>
    <comment ref="F88" authorId="2">
      <text>
        <r>
          <rPr>
            <b/>
            <sz val="8"/>
            <color indexed="81"/>
            <rFont val="Tahoma"/>
            <family val="2"/>
          </rPr>
          <t>dahera:</t>
        </r>
        <r>
          <rPr>
            <sz val="8"/>
            <color indexed="81"/>
            <rFont val="Tahoma"/>
            <family val="2"/>
          </rPr>
          <t xml:space="preserve">
Gross budget not correct due to the restructuring in 2010.</t>
        </r>
      </text>
    </comment>
    <comment ref="N88" authorId="2">
      <text>
        <r>
          <rPr>
            <b/>
            <sz val="8"/>
            <color indexed="81"/>
            <rFont val="Tahoma"/>
            <family val="2"/>
          </rPr>
          <t>dahera:</t>
        </r>
        <r>
          <rPr>
            <sz val="8"/>
            <color indexed="81"/>
            <rFont val="Tahoma"/>
            <family val="2"/>
          </rPr>
          <t xml:space="preserve">
Gross budget not correct due to the restructuring in 2010.</t>
        </r>
      </text>
    </comment>
  </commentList>
</comments>
</file>

<file path=xl/comments2.xml><?xml version="1.0" encoding="utf-8"?>
<comments xmlns="http://schemas.openxmlformats.org/spreadsheetml/2006/main">
  <authors>
    <author>mohilea</author>
  </authors>
  <commentList>
    <comment ref="F6" authorId="0">
      <text>
        <r>
          <rPr>
            <b/>
            <sz val="8"/>
            <color indexed="81"/>
            <rFont val="Tahoma"/>
            <family val="2"/>
          </rPr>
          <t>ansonc:</t>
        </r>
        <r>
          <rPr>
            <sz val="8"/>
            <color indexed="81"/>
            <rFont val="Tahoma"/>
            <family val="2"/>
          </rPr>
          <t xml:space="preserve">
BSR $2.5 m not deducted</t>
        </r>
      </text>
    </comment>
    <comment ref="G6" authorId="0">
      <text>
        <r>
          <rPr>
            <b/>
            <sz val="8"/>
            <color indexed="81"/>
            <rFont val="Tahoma"/>
            <family val="2"/>
          </rPr>
          <t>ansonc:</t>
        </r>
        <r>
          <rPr>
            <sz val="8"/>
            <color indexed="81"/>
            <rFont val="Tahoma"/>
            <family val="2"/>
          </rPr>
          <t xml:space="preserve">
BSR $2.5 m deducted</t>
        </r>
      </text>
    </comment>
  </commentList>
</comments>
</file>

<file path=xl/sharedStrings.xml><?xml version="1.0" encoding="utf-8"?>
<sst xmlns="http://schemas.openxmlformats.org/spreadsheetml/2006/main" count="1984" uniqueCount="430">
  <si>
    <t>PLANNING</t>
  </si>
  <si>
    <t>Financial Summary</t>
  </si>
  <si>
    <t>Grants &amp; Subsidies</t>
  </si>
  <si>
    <t>Investment Income &amp; Dividends</t>
  </si>
  <si>
    <t>Other Miscellaneous Revenue</t>
  </si>
  <si>
    <t>Annual Gross Budget</t>
  </si>
  <si>
    <t>Recovery of Expenditures</t>
  </si>
  <si>
    <t>Annual Net Budget</t>
  </si>
  <si>
    <t>Taxes - Education</t>
  </si>
  <si>
    <t>Annual Net Expenditures</t>
  </si>
  <si>
    <t>Taxes - Municipal</t>
  </si>
  <si>
    <t>Year End Variance</t>
  </si>
  <si>
    <t>Transfers from Other Funds</t>
  </si>
  <si>
    <t>User Fees, Permits &amp; Charges</t>
  </si>
  <si>
    <t>Financial Expenses</t>
  </si>
  <si>
    <t xml:space="preserve">Minor Capital </t>
  </si>
  <si>
    <t>Operating &amp; Maintenance Supplies</t>
  </si>
  <si>
    <t>Other Miscellaneous Expenditures</t>
  </si>
  <si>
    <t>Purchased Services</t>
  </si>
  <si>
    <t>Salaries &amp; Benefits</t>
  </si>
  <si>
    <t>Transfers to Education Entities</t>
  </si>
  <si>
    <t>Transfers to External Agencies</t>
  </si>
  <si>
    <t>Transfers to Reserves &amp; Capital Funds</t>
  </si>
  <si>
    <t>Transfer for Social Services</t>
  </si>
  <si>
    <t>Utilities, Insurance &amp; Taxes</t>
  </si>
  <si>
    <t xml:space="preserve">Description </t>
  </si>
  <si>
    <t>Summary of Description</t>
  </si>
  <si>
    <t>Category</t>
  </si>
  <si>
    <t>Amount</t>
  </si>
  <si>
    <t>1.</t>
  </si>
  <si>
    <t>2.</t>
  </si>
  <si>
    <t>3.</t>
  </si>
  <si>
    <t>4.</t>
  </si>
  <si>
    <t>5.</t>
  </si>
  <si>
    <t>Mitigating Steps</t>
  </si>
  <si>
    <t>Financials</t>
  </si>
  <si>
    <t>Annual Gross Budget (GB)</t>
  </si>
  <si>
    <t>Variance as % of GB</t>
  </si>
  <si>
    <t>First Quarter (Q1)</t>
  </si>
  <si>
    <t>Second Quarter (Q2)</t>
  </si>
  <si>
    <t>Third Quarter (Q3)</t>
  </si>
  <si>
    <t>Est. Variance</t>
  </si>
  <si>
    <t>* Note: Year-end numbers are based on actual results, not projections.</t>
  </si>
  <si>
    <t>Year-End (Q4)*</t>
  </si>
  <si>
    <t>Summary</t>
  </si>
  <si>
    <t>Departments/Divisions</t>
  </si>
  <si>
    <t xml:space="preserve">Page # </t>
  </si>
  <si>
    <t>Q1
As at Mar 31</t>
  </si>
  <si>
    <t>Q2
As at Jun 30</t>
  </si>
  <si>
    <t>Q3
As at Sep 30</t>
  </si>
  <si>
    <t>Year End*
As at Dec 31</t>
  </si>
  <si>
    <t>% Var. of Gross Bgt. YE</t>
  </si>
  <si>
    <t>Q1
Surplus/
(Deficit)</t>
  </si>
  <si>
    <t>Q2
Surplus/
(Deficit)</t>
  </si>
  <si>
    <t>Q3
Surplus/
(Deficit)</t>
  </si>
  <si>
    <t>Year End
Surplus/
(Deficit)</t>
  </si>
  <si>
    <t>% Var. of Gross Bgt.</t>
  </si>
  <si>
    <t>Q2 (May 31)
Projected Surplus / (Deficit)</t>
  </si>
  <si>
    <t>Q3 (Aug 31)
Projected Surplus / (Deficit)</t>
  </si>
  <si>
    <t>Q1
Surplus / 
(Deficit)</t>
  </si>
  <si>
    <t>YE % Var. of Gross Bgt.</t>
  </si>
  <si>
    <t>FPA</t>
  </si>
  <si>
    <t>Received</t>
  </si>
  <si>
    <t>change over Q3</t>
  </si>
  <si>
    <t>Representation</t>
  </si>
  <si>
    <t>Mayor's Office</t>
  </si>
  <si>
    <t>Marco</t>
  </si>
  <si>
    <t>Council Administrative Services</t>
  </si>
  <si>
    <t>Total Representation</t>
  </si>
  <si>
    <t>Office of the Chief Administrative Officer</t>
  </si>
  <si>
    <t>CAO's Office</t>
  </si>
  <si>
    <t>Caroline</t>
  </si>
  <si>
    <t>Total Office of the Chief Admin. Officer</t>
  </si>
  <si>
    <t>Office of the Chief Financial Officer</t>
  </si>
  <si>
    <t>Finance</t>
  </si>
  <si>
    <t>Financial Accounting</t>
  </si>
  <si>
    <t>Financial Planning</t>
  </si>
  <si>
    <t>Taxation &amp; Financial Projects</t>
  </si>
  <si>
    <t>Asset Planning</t>
  </si>
  <si>
    <t>Information Technology</t>
  </si>
  <si>
    <t>Corporate Financial Accounts</t>
  </si>
  <si>
    <t>Total Office of the Chief Financial Officer</t>
  </si>
  <si>
    <t>Office of City Clerk</t>
  </si>
  <si>
    <t>Council Services</t>
  </si>
  <si>
    <t>Sonia</t>
  </si>
  <si>
    <t>Policy, Gaming &amp; Licensing</t>
  </si>
  <si>
    <t>Communication &amp; Customer Service</t>
  </si>
  <si>
    <t>Provincial Offences</t>
  </si>
  <si>
    <t>Employee Relations</t>
  </si>
  <si>
    <t>Human Resources</t>
  </si>
  <si>
    <t>Corporate Human Resource Accounts</t>
  </si>
  <si>
    <t xml:space="preserve">Total Office of City Clerk </t>
  </si>
  <si>
    <t>Office of the City Solicitor</t>
  </si>
  <si>
    <t xml:space="preserve">Chantelle </t>
  </si>
  <si>
    <t>Purchasing &amp; Risk Management</t>
  </si>
  <si>
    <t>Licensing &amp; Enforcement</t>
  </si>
  <si>
    <t>Corporate Facility Planning</t>
  </si>
  <si>
    <t>Fire &amp; Rescue Services</t>
  </si>
  <si>
    <t xml:space="preserve">Building </t>
  </si>
  <si>
    <t>Don</t>
  </si>
  <si>
    <t>Planning</t>
  </si>
  <si>
    <t>Total Office of the City Solicitor</t>
  </si>
  <si>
    <t>Office of the City Engineer</t>
  </si>
  <si>
    <t>Engineering</t>
  </si>
  <si>
    <t>Poorvangi</t>
  </si>
  <si>
    <t xml:space="preserve">Environmental </t>
  </si>
  <si>
    <t>Mark</t>
  </si>
  <si>
    <t>PW Operations</t>
  </si>
  <si>
    <t>Cindy</t>
  </si>
  <si>
    <t>Parks &amp; Facility Operations</t>
  </si>
  <si>
    <t>Josh / Bobbi</t>
  </si>
  <si>
    <t>Total Office of the City Engineer</t>
  </si>
  <si>
    <t>Community Development &amp; Health</t>
  </si>
  <si>
    <t>Comm. Development &amp; Health Office</t>
  </si>
  <si>
    <t>Melissa Cirelli</t>
  </si>
  <si>
    <t>Employment &amp; Social Services</t>
  </si>
  <si>
    <t>Housing &amp; Children's Services</t>
  </si>
  <si>
    <t>Nancy Jaekel</t>
  </si>
  <si>
    <t>Andrea Rivett</t>
  </si>
  <si>
    <t>Cultural Services</t>
  </si>
  <si>
    <t>Recreation &amp; Culture</t>
  </si>
  <si>
    <t>Valerie Clifford</t>
  </si>
  <si>
    <t>Total Community Development &amp; Health</t>
  </si>
  <si>
    <t>Total City Departments</t>
  </si>
  <si>
    <t>Agencies, Boards &amp; Commissions</t>
  </si>
  <si>
    <t>Auditor General's Office</t>
  </si>
  <si>
    <t>Windsor Police Services</t>
  </si>
  <si>
    <t>Rita Pennesi</t>
  </si>
  <si>
    <t>email sent 28/2</t>
  </si>
  <si>
    <t>Transit Windsor</t>
  </si>
  <si>
    <t>Sue Grimmett</t>
  </si>
  <si>
    <t>Board</t>
  </si>
  <si>
    <t>annual grant paid quarterly, no variance</t>
  </si>
  <si>
    <t>Roseland</t>
  </si>
  <si>
    <t>Windsor Tunnel Corporation</t>
  </si>
  <si>
    <t>Windsor Airport</t>
  </si>
  <si>
    <t>Agency Grants</t>
  </si>
  <si>
    <t>Health Unit &amp; Land Ambulance</t>
  </si>
  <si>
    <t>Committees of Council</t>
  </si>
  <si>
    <t>Total Agencies, Boards &amp; Commissions</t>
  </si>
  <si>
    <t>2012 Adjusted Net Operating Budget Surplus 
(Before One-Time Approved Funding)</t>
  </si>
  <si>
    <t>Less: 2012 Budget One-Time Approved Funding</t>
  </si>
  <si>
    <t>Reduction in Economic Development Initiative</t>
  </si>
  <si>
    <t>Multi-Residential Tax Adjustment</t>
  </si>
  <si>
    <t>Elimination of Retiree Gifts</t>
  </si>
  <si>
    <t>Sidewalk Café Fees</t>
  </si>
  <si>
    <t>Roseland Golf Sponsorship</t>
  </si>
  <si>
    <t>Customer Service/Other Professional Services Account</t>
  </si>
  <si>
    <t>Skunk Removal Program</t>
  </si>
  <si>
    <t>Closure of Sandpoint Beach / Convert to Park</t>
  </si>
  <si>
    <t>2012 Adjusted Net Operating Budget Surplus</t>
  </si>
  <si>
    <t>Note: Line for Handi Transit was added at Q3 due to the Council Resolution noted below. Removed at Year End at Helga's direction.</t>
  </si>
  <si>
    <t>CR262/2011 approved recommendations of Report # 15448. Recommendation #1h states</t>
  </si>
  <si>
    <t>Handi Transit and Transit Windsor will present their annual operating and capital budgets to City Council together as part of their regular budget cycle (not on agency day) through the City Engineer and Corporate Leader for Environmental Protection and Transportation.</t>
  </si>
  <si>
    <t xml:space="preserve">Accordingly, effective Q3 2012, Handi Transit info was added to Appendix A. 
</t>
  </si>
  <si>
    <t>MAYOR'S OFFICE</t>
  </si>
  <si>
    <t>COUNCIL ADMINISTRATIVE SERVICES</t>
  </si>
  <si>
    <t>FINANCE</t>
  </si>
  <si>
    <t>INFORMATION TECHNOLOGY (I.T.)</t>
  </si>
  <si>
    <t>CORPORATE FINANCIAL ACCOUNTS</t>
  </si>
  <si>
    <t>COUNCIL SERVICES</t>
  </si>
  <si>
    <t>HUMAN RESOURCES</t>
  </si>
  <si>
    <t>LEGAL</t>
  </si>
  <si>
    <t>FIRE &amp; RESCUE SERVICES</t>
  </si>
  <si>
    <t>BUILDING</t>
  </si>
  <si>
    <t>ENGINEERING</t>
  </si>
  <si>
    <t>ENVIRONMENTAL</t>
  </si>
  <si>
    <t>PUBLIC WORKS OPERATIONS</t>
  </si>
  <si>
    <t>PARKS &amp; FACILITY OPERATIONS</t>
  </si>
  <si>
    <t>COMMUNITY DEVELOPMENT &amp; HEALTH OFFICE</t>
  </si>
  <si>
    <t>EMPLOYMENT &amp; SOCIAL SERVICES</t>
  </si>
  <si>
    <t>HOUSING &amp; CHILDREN SERVICES</t>
  </si>
  <si>
    <t>HURON LODGE</t>
  </si>
  <si>
    <t>RECREATION &amp; CULTURE</t>
  </si>
  <si>
    <t>WINDSOR POLICE SERVICES</t>
  </si>
  <si>
    <t>TRANSIT WINDSOR</t>
  </si>
  <si>
    <t>HANDI TRANSIT</t>
  </si>
  <si>
    <t>AGENCY GRANTS</t>
  </si>
  <si>
    <t>COMMITTEES OF COUNCIL</t>
  </si>
  <si>
    <t>CAO'S OFFICE</t>
  </si>
  <si>
    <t>CORPORATE HUMAN RESOURCE ACCOUNTS</t>
  </si>
  <si>
    <t>6.</t>
  </si>
  <si>
    <t>7.</t>
  </si>
  <si>
    <t>8.</t>
  </si>
  <si>
    <t xml:space="preserve">Net Year End Surplus/(Deficit)     </t>
  </si>
  <si>
    <t xml:space="preserve">Net Department Year End Surplus/(Deficit)     </t>
  </si>
  <si>
    <t xml:space="preserve">2. </t>
  </si>
  <si>
    <t>Huron Lodge</t>
  </si>
  <si>
    <t>Total Corporation ** (excluding Handi Transit)</t>
  </si>
  <si>
    <t>Annual Grant Funding</t>
  </si>
  <si>
    <t>Windsor Public Library Grant</t>
  </si>
  <si>
    <t>WINDSOR PUBLIC LIBRARY GRANT</t>
  </si>
  <si>
    <t>FIN</t>
  </si>
  <si>
    <t>CS</t>
  </si>
  <si>
    <t>HR</t>
  </si>
  <si>
    <t>CHR</t>
  </si>
  <si>
    <t>LEG</t>
  </si>
  <si>
    <t>FRS</t>
  </si>
  <si>
    <t>PLAN</t>
  </si>
  <si>
    <t>ENG</t>
  </si>
  <si>
    <t>ENV</t>
  </si>
  <si>
    <t>PWO</t>
  </si>
  <si>
    <t>PFO</t>
  </si>
  <si>
    <t>CDO</t>
  </si>
  <si>
    <t>HCS</t>
  </si>
  <si>
    <t>WPS</t>
  </si>
  <si>
    <t>TW</t>
  </si>
  <si>
    <t>AG</t>
  </si>
  <si>
    <t>CC</t>
  </si>
  <si>
    <t>Not in tree</t>
  </si>
  <si>
    <t>Includes WECHC</t>
  </si>
  <si>
    <r>
      <t>Financials</t>
    </r>
    <r>
      <rPr>
        <b/>
        <vertAlign val="superscript"/>
        <sz val="10"/>
        <rFont val="Times New Roman"/>
        <family val="1"/>
      </rPr>
      <t>1</t>
    </r>
  </si>
  <si>
    <t>Salary Gapping</t>
  </si>
  <si>
    <t>By-law Prosecutions</t>
  </si>
  <si>
    <t>Shared Services Legal Work</t>
  </si>
  <si>
    <t>Canderel Lease Expense</t>
  </si>
  <si>
    <t>Insurance Premiums</t>
  </si>
  <si>
    <t>Provincial Offences Division</t>
  </si>
  <si>
    <t>Other Employment Initiatives</t>
  </si>
  <si>
    <t>OW Program Delivery</t>
  </si>
  <si>
    <t>Fuel</t>
  </si>
  <si>
    <t>Legal Services, Real Estate Services, Risk Management and Purchasing Divisions</t>
  </si>
  <si>
    <t>Facility Operations Division</t>
  </si>
  <si>
    <t>Budget Stabilization Contingency Acct.</t>
  </si>
  <si>
    <t>2014 Net Operating Budget Surplus (excludes Handi Transit)</t>
  </si>
  <si>
    <t>9.</t>
  </si>
  <si>
    <t>Confirm carryforward /spending confirmed with Mayors Office</t>
  </si>
  <si>
    <t>Add narrative, esp Library</t>
  </si>
  <si>
    <t>More details on utilities variances (consumption, rates - source of variances)</t>
  </si>
  <si>
    <t>OC to tweak investment write up</t>
  </si>
  <si>
    <t>OC may remove capital interest income variance</t>
  </si>
  <si>
    <t>Round figures to 100 or 1000</t>
  </si>
  <si>
    <t>Fix formatting</t>
  </si>
  <si>
    <t>Search for unbudgeted in entire document and highlight for Tony</t>
  </si>
  <si>
    <t>Put notes to disclose the reserve funding, that this is gross amount prior to recommended reserve draws, etc.</t>
  </si>
  <si>
    <t>Parks to get proportionate share of $1M BSR, approx $100k.</t>
  </si>
  <si>
    <t>OC wants to see more on trends on fuel prices, etc.; projections (graph/chart, etc)</t>
  </si>
  <si>
    <t>Put Tony's note re: health unit</t>
  </si>
  <si>
    <t>Recommended Reserve Funding</t>
  </si>
  <si>
    <t>BSR for Winter Control</t>
  </si>
  <si>
    <t>Self Insurance Reserve for Insurance Variance</t>
  </si>
  <si>
    <t>Total Recommended Reserve Funding</t>
  </si>
  <si>
    <t>Total Corporation Net of Recommended Reserve Funding</t>
  </si>
  <si>
    <t>Parks Operations Division</t>
  </si>
  <si>
    <t>Total Parks Operations Division</t>
  </si>
  <si>
    <t>Total Facility Operations Division</t>
  </si>
  <si>
    <t>Legal / POA</t>
  </si>
  <si>
    <t>BSR for LED Lights</t>
  </si>
  <si>
    <t>10.</t>
  </si>
  <si>
    <t>11.</t>
  </si>
  <si>
    <t>Total OW Program Delivery</t>
  </si>
  <si>
    <t>Financial Assistance</t>
  </si>
  <si>
    <t>Total Financial Assistance</t>
  </si>
  <si>
    <t>2013 Year End
Surplus/
(Deficit)</t>
  </si>
  <si>
    <t>2014 Annual Net Budget</t>
  </si>
  <si>
    <t>Variance as a % of Gross Budget</t>
  </si>
  <si>
    <t>REVENUE:</t>
  </si>
  <si>
    <t>SUBTOTAL - REVENUE</t>
  </si>
  <si>
    <r>
      <t>EXPENSE</t>
    </r>
    <r>
      <rPr>
        <sz val="10"/>
        <rFont val="Times New Roman"/>
        <family val="1"/>
      </rPr>
      <t>:</t>
    </r>
  </si>
  <si>
    <t>SUBTOTAL - EXPENSES</t>
  </si>
  <si>
    <t>Net Favourable (Unfavourable) Variance</t>
  </si>
  <si>
    <t> 2014 Projected Year End Deficit</t>
  </si>
  <si>
    <t xml:space="preserve">Per Summary Sheet </t>
  </si>
  <si>
    <t>Difference</t>
  </si>
  <si>
    <t>2014 Net Operating Budget Surplus (excl Handi Transit)</t>
  </si>
  <si>
    <r>
      <t>Total Corporation (excluding Handi Transit)</t>
    </r>
    <r>
      <rPr>
        <b/>
        <vertAlign val="superscript"/>
        <sz val="10"/>
        <rFont val="Times New Roman"/>
        <family val="1"/>
      </rPr>
      <t>1</t>
    </r>
  </si>
  <si>
    <t xml:space="preserve">Notes: </t>
  </si>
  <si>
    <r>
      <t>BSR for Winter Control</t>
    </r>
    <r>
      <rPr>
        <vertAlign val="superscript"/>
        <sz val="10"/>
        <rFont val="Times New Roman"/>
        <family val="1"/>
      </rPr>
      <t>2</t>
    </r>
  </si>
  <si>
    <r>
      <t>BSR for LED Lights</t>
    </r>
    <r>
      <rPr>
        <vertAlign val="superscript"/>
        <sz val="10"/>
        <rFont val="Times New Roman"/>
        <family val="1"/>
      </rPr>
      <t>3</t>
    </r>
  </si>
  <si>
    <r>
      <t>Self Insurance Reserve for Insurance Variance</t>
    </r>
    <r>
      <rPr>
        <vertAlign val="superscript"/>
        <sz val="10"/>
        <rFont val="Times New Roman"/>
        <family val="1"/>
      </rPr>
      <t>4</t>
    </r>
  </si>
  <si>
    <t>4. Funding request from the Self Insurance Reserve anticipated.</t>
  </si>
  <si>
    <t>Reserve Funding</t>
  </si>
  <si>
    <t>2. $1.25M funding from the Budget Stabilization Reserve has been approved by Council (CR81/2014 &amp; M7/2014).</t>
  </si>
  <si>
    <t xml:space="preserve"> -</t>
  </si>
  <si>
    <t>NA</t>
  </si>
  <si>
    <t>3. $122,900 funding from the Budget Stabilization Reserve has been approved (B39/2013) though the total requested funding is anticipated to be $500,000.</t>
  </si>
  <si>
    <t>Net Salary Variance</t>
  </si>
  <si>
    <t>County Apparatus Revenue</t>
  </si>
  <si>
    <t>Fleet Division</t>
  </si>
  <si>
    <t>Total Fleet Division</t>
  </si>
  <si>
    <t>Maintenance Division</t>
  </si>
  <si>
    <t>Total Maintenance Division</t>
  </si>
  <si>
    <t>Traffic Division</t>
  </si>
  <si>
    <t>Total Traffic Division</t>
  </si>
  <si>
    <t>2014 Q3 OPERATING VARIANCE SUMMARY BY DEPARTMENT / DIVISION</t>
  </si>
  <si>
    <t>12.</t>
  </si>
  <si>
    <t>13.</t>
  </si>
  <si>
    <t>14.</t>
  </si>
  <si>
    <t>Site Plan Control Agreements</t>
  </si>
  <si>
    <t>15.</t>
  </si>
  <si>
    <t>16.</t>
  </si>
  <si>
    <t>Labour Arbitration and Legal Services Costs</t>
  </si>
  <si>
    <t>Increase in Funding</t>
  </si>
  <si>
    <t>WSIB</t>
  </si>
  <si>
    <t>Other Miscellaneous Accounts</t>
  </si>
  <si>
    <t>Nursing Supplies and Incontinence Products</t>
  </si>
  <si>
    <t>Salary Accounts</t>
  </si>
  <si>
    <t>Travel &amp; Training</t>
  </si>
  <si>
    <t>Vehicle Repairs</t>
  </si>
  <si>
    <t>Recruit Training</t>
  </si>
  <si>
    <t>Fire Uniforms</t>
  </si>
  <si>
    <t>Fire Prevention User Fees</t>
  </si>
  <si>
    <t>10</t>
  </si>
  <si>
    <t>Huron Lodge is working on a comprehensive Attendance Management program in conjunction with Human Resources and Employee Relations to address absenteeism.</t>
  </si>
  <si>
    <t>Overtime - unforeseen major crimes/events/court attendance</t>
  </si>
  <si>
    <t>Minor equipment, repairs, maintenance, replacment</t>
  </si>
  <si>
    <t>Legal and consulting costs</t>
  </si>
  <si>
    <t>Personnel costs, workers comp, one-time payouts</t>
  </si>
  <si>
    <t>Unachievable revenue targets - fees, recoveries</t>
  </si>
  <si>
    <t>Diversity Committee</t>
  </si>
  <si>
    <t xml:space="preserve">International Relations Committee </t>
  </si>
  <si>
    <t xml:space="preserve">OW Program Delivery- Salary and Benefits </t>
  </si>
  <si>
    <t>OW Program Delivery- Employment Initiatives</t>
  </si>
  <si>
    <t>OW Program Delivery- Employment Related Expenses</t>
  </si>
  <si>
    <t>OW Financial Assistance</t>
  </si>
  <si>
    <t>100% Municipal Assistance</t>
  </si>
  <si>
    <t>Minor Variances in Various Accounts</t>
  </si>
  <si>
    <t>WPL Transition</t>
  </si>
  <si>
    <t>Housing Subsidy Surplus</t>
  </si>
  <si>
    <t>WECHC Family Housing Property Tax</t>
  </si>
  <si>
    <t>WECHC Public Housing Property Tax/Utilities</t>
  </si>
  <si>
    <t xml:space="preserve">Children Services </t>
  </si>
  <si>
    <t xml:space="preserve">Corporate Provision for JJE Retro, Unanticipated WSIB costs and NU Overtime </t>
  </si>
  <si>
    <t>MPAC</t>
  </si>
  <si>
    <t>Net Interest on Investments</t>
  </si>
  <si>
    <t>Payments in Lieu</t>
  </si>
  <si>
    <t>Sick Leave Gratuity</t>
  </si>
  <si>
    <t>Employer Health Tax (EHT)</t>
  </si>
  <si>
    <t>Canada Pension Plan (CPP)</t>
  </si>
  <si>
    <t>Penalty and Interest on Taxes</t>
  </si>
  <si>
    <t>No material variance projected at this time.</t>
  </si>
  <si>
    <t>Global Spectrum</t>
  </si>
  <si>
    <t>WFCU Centre</t>
  </si>
  <si>
    <t>WIATC/Adventure Bay</t>
  </si>
  <si>
    <t>Green Shield</t>
  </si>
  <si>
    <t xml:space="preserve">Long Term Disability </t>
  </si>
  <si>
    <t>Group Life Insurance</t>
  </si>
  <si>
    <t>Litigation Costs</t>
  </si>
  <si>
    <t>Collection Charges</t>
  </si>
  <si>
    <t xml:space="preserve">Court Fines </t>
  </si>
  <si>
    <t>Transit Revenue</t>
  </si>
  <si>
    <t>Commissions Revenue</t>
  </si>
  <si>
    <t>Fuel and Lubricants</t>
  </si>
  <si>
    <t>Salary and Wages</t>
  </si>
  <si>
    <t>Depreciation</t>
  </si>
  <si>
    <t>Winter Control (Fleet Divison only)</t>
  </si>
  <si>
    <t>PIC Revenue</t>
  </si>
  <si>
    <t>Road Maintenance</t>
  </si>
  <si>
    <t>Winter Control (Maintenance Division only)</t>
  </si>
  <si>
    <t>Parking Ticket Revenue</t>
  </si>
  <si>
    <t>Minor Miscellaneous Expense Account Variances</t>
  </si>
  <si>
    <t>Projected Fee Revenue Shortfall (Property Standards)</t>
  </si>
  <si>
    <t>WSIB Costs</t>
  </si>
  <si>
    <t>The Department continually works to mitigate costs where possible in order to minimize any overall negative operating variances.  This includes staff gapping and ongoing monitoring of miscellaneous controllable costs.</t>
  </si>
  <si>
    <t>Licences &amp; Permits</t>
  </si>
  <si>
    <t>Salary and Benefits</t>
  </si>
  <si>
    <t>Other Misc Expenses</t>
  </si>
  <si>
    <t>Unrealized Hydro Maintenance Cost Savings</t>
  </si>
  <si>
    <t>Until the City's streetlights are converted to LED fixtures, maintenance costs will continue to escalate, as the old existing fixtures will require maintenance on a more frequent basis. Regarding the RFP, the services of a lighting consultant to assist the City / Enwin with the selection of the successful proponent are being sought at this time. This delay suggests that the awarding of the conversion contract will not take place until late 2014 or 2015; meaning that the LED conversion will not be significantly complete until the latter part of 2015.</t>
  </si>
  <si>
    <t>Waste Disposal</t>
  </si>
  <si>
    <t>Pest Control</t>
  </si>
  <si>
    <t>Waste Collection</t>
  </si>
  <si>
    <t>Containerized Collection</t>
  </si>
  <si>
    <t>The Department continually works to mitigate costs in order to avoid and minimize any negative operating variances.  As a result, ongoing monitoring of miscellaneous controllable costs will continue.</t>
  </si>
  <si>
    <t>Building &amp; Security/Environmental Admin.</t>
  </si>
  <si>
    <t>Tree Trim Revenue, Vacant Lots, Other Recoverable Expenses</t>
  </si>
  <si>
    <t>UV Replacement Bulbs - WIATC/AB</t>
  </si>
  <si>
    <t>Operating Expense Surplus - AGW</t>
  </si>
  <si>
    <t>Operating Expense Surplus - Capitol Theatre</t>
  </si>
  <si>
    <t>Land Ambulance</t>
  </si>
  <si>
    <t xml:space="preserve">Windsor-Essex County Health Unit </t>
  </si>
  <si>
    <t>Thermal Energy</t>
  </si>
  <si>
    <t>Salaries and Benefits</t>
  </si>
  <si>
    <t>Ownership Changes</t>
  </si>
  <si>
    <r>
      <t xml:space="preserve">The Planning Department is projecting a surplus of approximately $160,000 for 2014.
</t>
    </r>
    <r>
      <rPr>
        <u/>
        <sz val="11"/>
        <rFont val="Times New Roman"/>
        <family val="1"/>
      </rPr>
      <t>Salary Gapping: $160,000</t>
    </r>
    <r>
      <rPr>
        <sz val="11"/>
        <rFont val="Times New Roman"/>
        <family val="1"/>
      </rPr>
      <t xml:space="preserve">
There were a number of vacancies by staff filling temporary assignments throughout the year.  Many of the postitions were filled or replaced with the exception of the Planner II (Official Plan Monitor) which is anticipated to remain vacant until year end as a mitigating measure.  
</t>
    </r>
    <r>
      <rPr>
        <u/>
        <sz val="11"/>
        <rFont val="Times New Roman"/>
        <family val="1"/>
      </rPr>
      <t>Miscellaneous Expense Account Variances: $45,000</t>
    </r>
    <r>
      <rPr>
        <sz val="11"/>
        <rFont val="Times New Roman"/>
        <family val="1"/>
      </rPr>
      <t xml:space="preserve">
An estimated net amount totalling $45,000 as a result of mitigating efforts in expense categories such as purchased services, travel, training and operating supplies is also reflected in the Departmental overall projected surplus total.  
</t>
    </r>
    <r>
      <rPr>
        <u/>
        <sz val="11"/>
        <rFont val="Times New Roman"/>
        <family val="1"/>
      </rPr>
      <t>WSIB Costs: ($45,000)</t>
    </r>
    <r>
      <rPr>
        <sz val="11"/>
        <rFont val="Times New Roman"/>
        <family val="1"/>
      </rPr>
      <t xml:space="preserve">
The Department continues to absorb WSIB costs for a former employee. This variance is offset by a corporate provision as reported in the Corporate Financial Accounts department.</t>
    </r>
  </si>
  <si>
    <t>Miscellaneous Expense Account Variances</t>
  </si>
  <si>
    <t>Administration continues to monitor the budget in an effort to mitigate the year-end variance. Several 2015 budget issues will be brought forward for Administrative Review to address budgetary issues where necessary.</t>
  </si>
  <si>
    <r>
      <t xml:space="preserve">Parks Operations Division:
</t>
    </r>
    <r>
      <rPr>
        <sz val="11"/>
        <rFont val="Times New Roman"/>
        <family val="1"/>
      </rPr>
      <t>Parks continues to be diligent in their efforts to spend their budget responsibly.  The Parks Division has eliminated all Work Auths that were not third party related as these inflated costs and revenues.  This has allowed for a more efficient and clear monitoring of  Parks' related expenses.</t>
    </r>
    <r>
      <rPr>
        <i/>
        <sz val="11"/>
        <rFont val="Times New Roman"/>
        <family val="1"/>
      </rPr>
      <t xml:space="preserve">
Facility Operations Division:
</t>
    </r>
    <r>
      <rPr>
        <sz val="11"/>
        <rFont val="Times New Roman"/>
        <family val="1"/>
      </rPr>
      <t xml:space="preserve">In 2014, Facility Operations took over the financial budgets and responsibility for all maintenance and caretaking functions for the Recreation and Culture Department's facilities, and the environmental element of Huron Lodge.  The Facility Operations Division has also undergone a change in chartfield structure to coincide with the work order system, 360 Facility.  This will allow for better tracking of the costs incurred to maintain facilities.  Repair and maintenance work orders submitted through the 360 Facility application will be monitored and responded to on a timely basis.  Facility Operations has addressed the large items identified above as budget issues for 2015.  For the remainder of 2014 however, the Division will closely monitor spending in order to minimize the identified costs not originally budgeted for, while providing clean, safe and well-maintained facilities for its employees, tenants,  and the general public.
</t>
    </r>
  </si>
  <si>
    <t>From Handi-Transit:
"Actual results up to August are right on track with budget. Expectation is a breakeven for the year."</t>
  </si>
  <si>
    <t>Essex Region Conservation Authority</t>
  </si>
  <si>
    <t xml:space="preserve">WFRS will continue to monitor its accounts closely and utilize constraint in order to minimize costs through the end of the year.  </t>
  </si>
  <si>
    <r>
      <rPr>
        <i/>
        <sz val="11"/>
        <rFont val="Times New Roman"/>
        <family val="1"/>
      </rPr>
      <t>Legal Services, Real Estate Services, Risk Management and Purchasing Divisions</t>
    </r>
    <r>
      <rPr>
        <sz val="11"/>
        <rFont val="Times New Roman"/>
        <family val="1"/>
      </rPr>
      <t xml:space="preserve">
Some mitigating steps identified include utilizing internal legal department resources where staffing levels and competing priorities allow for it and ensuring external legal expenses are recovered from specific projects, where possible.  
</t>
    </r>
    <r>
      <rPr>
        <i/>
        <sz val="11"/>
        <rFont val="Times New Roman"/>
        <family val="1"/>
      </rPr>
      <t>Provincial Offences Division</t>
    </r>
    <r>
      <rPr>
        <sz val="11"/>
        <rFont val="Times New Roman"/>
        <family val="1"/>
      </rPr>
      <t xml:space="preserve">
Operational efficiencies are being realized through the implementation of the Court Administration Management System Software system to effectively tackle the collection of outstanding Court Fines. Operating expenses continue to be monitored to offset the projected year end deficit position.</t>
    </r>
  </si>
  <si>
    <t>Projected to end the year within budget estimates.</t>
  </si>
  <si>
    <r>
      <t xml:space="preserve">The I.T. department is projecting a year-end surplus of $36,000 at second quarter.
</t>
    </r>
    <r>
      <rPr>
        <u/>
        <sz val="11"/>
        <rFont val="Times New Roman"/>
        <family val="1"/>
      </rPr>
      <t xml:space="preserve">
Minor Variances in Various Accounts: $82,000</t>
    </r>
    <r>
      <rPr>
        <sz val="11"/>
        <rFont val="Times New Roman"/>
        <family val="1"/>
      </rPr>
      <t xml:space="preserve">
Other miscellaneous accounts are projected to net to a $82,000 surplus in 2014.
</t>
    </r>
    <r>
      <rPr>
        <u/>
        <sz val="11"/>
        <rFont val="Times New Roman"/>
        <family val="1"/>
      </rPr>
      <t>Salary Gapping: $14,000</t>
    </r>
    <r>
      <rPr>
        <sz val="11"/>
        <rFont val="Times New Roman"/>
        <family val="1"/>
      </rPr>
      <t xml:space="preserve">
Various gapping of positions in several divisions in I.T. will lead to a small surplus of $14,000 in 2014. 
</t>
    </r>
    <r>
      <rPr>
        <u/>
        <sz val="11"/>
        <rFont val="Times New Roman"/>
        <family val="1"/>
      </rPr>
      <t>Windsor Public Library (WPL) Transition: ($60,000)</t>
    </r>
    <r>
      <rPr>
        <sz val="11"/>
        <rFont val="Times New Roman"/>
        <family val="1"/>
      </rPr>
      <t xml:space="preserve">
A deficit of ($60,000) is anticipated in the WPL technology budget which was transferred to the City of Windsor’s Information Technology Department this year.  Having now experienced close to a full year of operations, it is likely that the projected savings originally anticipated will not be fully realized this year.  The benefits anticipated from the transfer of responsibility and projected savings should begin to materialize over the course of the next few years as existing contracts expire.  The deficit projected as a result of these unrealized savings is being mitigated through salary gapping elsewhere in the department.</t>
    </r>
  </si>
  <si>
    <t>Corporate Utilities</t>
  </si>
  <si>
    <t>General Corporate Accounts</t>
  </si>
  <si>
    <t>Total General Corporate Accounts</t>
  </si>
  <si>
    <t>Water</t>
  </si>
  <si>
    <t>Hydro</t>
  </si>
  <si>
    <t>Gas</t>
  </si>
  <si>
    <t>Total Corporate Utilities</t>
  </si>
  <si>
    <r>
      <t xml:space="preserve">Council Services is projecting a total surplus of $145,000 as outlined below.
</t>
    </r>
    <r>
      <rPr>
        <u/>
        <sz val="11"/>
        <rFont val="Times New Roman"/>
        <family val="1"/>
      </rPr>
      <t xml:space="preserve">
Salary Gapping: $145,000</t>
    </r>
    <r>
      <rPr>
        <sz val="11"/>
        <rFont val="Times New Roman"/>
        <family val="1"/>
      </rPr>
      <t xml:space="preserve">
The Policy, Gaming and Licensing Division is projecting a surplus of $80,000 resulting from salary gapping and a surplus in their temporary salary account.  The Communication and Customer Service Division is projecting a year end surplus of $65,000, also related to salary gapping resulting from staff vacancies.
The Employee Relations and Council Service Administration Divisions have no material variance projections to December 31, 2014.</t>
    </r>
  </si>
  <si>
    <t>Wages, Other Pay, and Contracted Services</t>
  </si>
  <si>
    <t>Overtime</t>
  </si>
  <si>
    <t>Equipment &amp; Infrastructure Repairs and Materials</t>
  </si>
  <si>
    <t>Windsor Essex Community Housing Corporation (WECHC)</t>
  </si>
  <si>
    <t>Total Windsor Essex Community Housing Corporation (WECHC)</t>
  </si>
  <si>
    <r>
      <t xml:space="preserve">As of August 31, 2014, the Employment and Social Services Department is projecting to end the year with a net city surplus of $1,162,000.
</t>
    </r>
    <r>
      <rPr>
        <u/>
        <sz val="11"/>
        <rFont val="Times New Roman"/>
        <family val="1"/>
      </rPr>
      <t>Ontario Works Program Delivery: $775,000</t>
    </r>
    <r>
      <rPr>
        <sz val="11"/>
        <rFont val="Times New Roman"/>
        <family val="1"/>
      </rPr>
      <t xml:space="preserve">
A net city surplus of $775,000 is projected at year end for Ontario Works (OW) Program Delivery. Expenditures are lower than budget due in part to a lower than budgeted average OW monthly caseload. Of this projected City surplus, $470,000 relates to salary gapping, as well the in year announcement of additional 100% provincial funding to offset the cost of implementation of the Social Services Solutions Modernization Project (SSSMP). Lower than expected Employment Related Expenses, Employment Initiatives, and operating costs add $305,000 to the city surplus. 
</t>
    </r>
    <r>
      <rPr>
        <u/>
        <sz val="11"/>
        <rFont val="Times New Roman"/>
        <family val="1"/>
      </rPr>
      <t xml:space="preserve">
Financial Assistance: $380,000</t>
    </r>
    <r>
      <rPr>
        <sz val="11"/>
        <rFont val="Times New Roman"/>
        <family val="1"/>
      </rPr>
      <t xml:space="preserve">
Ontario Works Financial Assistance is projected to end the year with a net City surplus of approximately $380,000. The 2014 Ontario Works monthly caseload has ranged from 9,346 to 9,606 with the year to date average at August 31, 2014 being  9,471. This is 1.34% lower than the budgeted average caseload of 9,600. The lower caseload along with a less than expected cost per case account for a significant part of the surplus. Discretionary benefit expenditures are expected to remain within the provincial funding cap. Should the OW caseload rise in the last quarter of the year, the projected surpluses for OW Program Delivery and OW Financial Assistance may be reduced. 
The Ontario government proposed a number of changes to social assistance that take effect September 1, 2014, such as an additional $30 per month (or about five percent) for adult singles without children receiving Ontario Works (applied to basic needs and boarder amounts) and an additional 1 per cent for Ontario Works families (applied to basic needs, shelter and boarder amounts). Municipalities however will not be required to cost share the cost of these increases in Ontario Works rates until after January 2015. 
</t>
    </r>
    <r>
      <rPr>
        <u/>
        <sz val="11"/>
        <rFont val="Times New Roman"/>
        <family val="1"/>
      </rPr>
      <t>100% Municipal Assistance: $10,000</t>
    </r>
    <r>
      <rPr>
        <sz val="11"/>
        <rFont val="Times New Roman"/>
        <family val="1"/>
      </rPr>
      <t xml:space="preserve">
100% Municipal Assistance is projected to end the year with a net City surplus of approximately $10,000 largely attributed to increased funeral and burial recoveries. 
</t>
    </r>
    <r>
      <rPr>
        <u/>
        <sz val="11"/>
        <rFont val="Times New Roman"/>
        <family val="1"/>
      </rPr>
      <t>Community Development and Health Office: $0</t>
    </r>
    <r>
      <rPr>
        <sz val="11"/>
        <rFont val="Times New Roman"/>
        <family val="1"/>
      </rPr>
      <t xml:space="preserve">
No significant variance is expected for the Community Development and Health Office. 
</t>
    </r>
    <r>
      <rPr>
        <u/>
        <sz val="11"/>
        <rFont val="Times New Roman"/>
        <family val="1"/>
      </rPr>
      <t xml:space="preserve">
Other Employment Initiatives: ($3,000)</t>
    </r>
    <r>
      <rPr>
        <sz val="11"/>
        <rFont val="Times New Roman"/>
        <family val="1"/>
      </rPr>
      <t xml:space="preserve">
Other Employment Services is projected to end the year with a small city deficit of ($3,000) related to the provision of client employment supports over and above the 100% provincial funding envelope. 
</t>
    </r>
  </si>
  <si>
    <r>
      <rPr>
        <u/>
        <sz val="11"/>
        <rFont val="Times New Roman"/>
        <family val="1"/>
      </rPr>
      <t>International Relations Committee: $20,000</t>
    </r>
    <r>
      <rPr>
        <sz val="11"/>
        <rFont val="Times New Roman"/>
        <family val="1"/>
      </rPr>
      <t xml:space="preserve">
The International Relations Committee is actively meeting throughout the year and has projected a surplus of $20,000 to December 31, 2014. 
</t>
    </r>
    <r>
      <rPr>
        <u/>
        <sz val="11"/>
        <rFont val="Times New Roman"/>
        <family val="1"/>
      </rPr>
      <t>Diversity Committee: $3,700</t>
    </r>
  </si>
  <si>
    <r>
      <t xml:space="preserve">Finance is currently projecting a year-end surplus of approximately $175,000.
</t>
    </r>
    <r>
      <rPr>
        <u/>
        <sz val="11"/>
        <rFont val="Times New Roman"/>
        <family val="1"/>
      </rPr>
      <t>Salaries and Benefits: $125,000</t>
    </r>
    <r>
      <rPr>
        <sz val="11"/>
        <rFont val="Times New Roman"/>
        <family val="1"/>
      </rPr>
      <t xml:space="preserve">
Due to the timing of recruitment and staff departures within the Finance Department, salaries are projected to experience a surplus of approximately $125,000.  Depending on the timing of positions being filled and variances in budget vs. actual wages, this projection may change by year end.
</t>
    </r>
    <r>
      <rPr>
        <u/>
        <sz val="11"/>
        <rFont val="Times New Roman"/>
        <family val="1"/>
      </rPr>
      <t>Ownership Changes: $50,000</t>
    </r>
    <r>
      <rPr>
        <sz val="11"/>
        <rFont val="Times New Roman"/>
        <family val="1"/>
      </rPr>
      <t xml:space="preserve">
This account is trending towards a $50,000 surplus in 2014.  This and other tax-related revenues are dependent upon taxpayer sales activity which makes these revenue streams hard to predict.</t>
    </r>
  </si>
  <si>
    <r>
      <t xml:space="preserve">The Environmental Services area is projecting a year-end surplus of $200,000 as at the end of the 3rd quarter.  A few surpluses in several areas are contributing to this projection:                                                                                                                                         
</t>
    </r>
    <r>
      <rPr>
        <u/>
        <sz val="11"/>
        <rFont val="Times New Roman"/>
        <family val="1"/>
      </rPr>
      <t xml:space="preserve">
Waste Disposal: $180,000   </t>
    </r>
    <r>
      <rPr>
        <sz val="11"/>
        <rFont val="Times New Roman"/>
        <family val="1"/>
      </rPr>
      <t xml:space="preserve">
Landfill tipping fees paid for all waste tonnage (residential and front-end loader collection) are projecting to be 2900 tonnes (5.4%) below the budgeted figure of 53,925 tonnes.  As a result, the department is projecting a surplus of approximately $100,000 relating to landfill tipping fees paid.  In addition, a surplus of $60,000 is anticipated with respect to leachate treatment costs and $20,000 related to higher than expected internal user recoveries for landfill tipping fees from other City departments.                                                 
</t>
    </r>
    <r>
      <rPr>
        <u/>
        <sz val="11"/>
        <rFont val="Times New Roman"/>
        <family val="1"/>
      </rPr>
      <t>Rodent Control: $85,000</t>
    </r>
    <r>
      <rPr>
        <sz val="11"/>
        <rFont val="Times New Roman"/>
        <family val="1"/>
      </rPr>
      <t xml:space="preserve">  
Given a budget carryforward from 2013 of $153,653, in addition to the annual budget of $84,335 for rodent control, the area had a total of $237,988 to provide skunk and rodent control in 2014.  With the skunk program completed as directed by Council in early August 2014, the program is expected to have a surplus in the range of $85,000 at year-end.                                                                                                                                                                                                                                                              
</t>
    </r>
    <r>
      <rPr>
        <u/>
        <sz val="11"/>
        <rFont val="Times New Roman"/>
        <family val="1"/>
      </rPr>
      <t xml:space="preserve">
Waste Collection: $40,000  </t>
    </r>
    <r>
      <rPr>
        <sz val="11"/>
        <rFont val="Times New Roman"/>
        <family val="1"/>
      </rPr>
      <t xml:space="preserve">
Residential waste tonnage for 2014 is projecting to be approximately 700 tonnes (1.6%) below the budgeted figure of 43,925 tonnes.  As a result, the department is projecting a year-end surplus of approximately $40,000 with respect to contractor fees due to the slightly reduced tonnage amount.                                                                                         
</t>
    </r>
    <r>
      <rPr>
        <u/>
        <sz val="11"/>
        <rFont val="Times New Roman"/>
        <family val="1"/>
      </rPr>
      <t xml:space="preserve">Containerized Collection: $30,000 </t>
    </r>
    <r>
      <rPr>
        <sz val="11"/>
        <rFont val="Times New Roman"/>
        <family val="1"/>
      </rPr>
      <t xml:space="preserve">
Revenues for containerized collection are projecting to be slightly higher than anticipated, resulting in a projected year-end surplus of approximately $30,000.                                                                                                          
</t>
    </r>
    <r>
      <rPr>
        <u/>
        <sz val="11"/>
        <rFont val="Times New Roman"/>
        <family val="1"/>
      </rPr>
      <t xml:space="preserve">Building &amp; Security: ($135,000) </t>
    </r>
    <r>
      <rPr>
        <sz val="11"/>
        <rFont val="Times New Roman"/>
        <family val="1"/>
      </rPr>
      <t xml:space="preserve"> 
Offsetting these aforementioned surpluses is a deficit of approximately $135,000 projected at year-end relating to expenditures for the grounds and maintenance of the Solid Waste Control Centre.  A large chunk of this deficit ($75,000) is timing of property taxes paid in 2014.  In addition, labour costs to maintain the facility are in a deficit position of ($35,000), along with a projected year-end deficit of ($25,000) in the Environmental Admin area for higher than anticipated temporary wages.                                                                                                                                                                                                                                                                                                                                                                                                                                               </t>
    </r>
  </si>
  <si>
    <t>The Building Department contiues to mitigate expenses where possible as well as explore revenue enhancements each year.  In 2014 the Department completed the final commitments of the 2011 City Council approved Deficit Reduction Action Plan which included a downsizing of the Department through attrition.</t>
  </si>
  <si>
    <r>
      <t xml:space="preserve">Huron Lodge is projecting to end the year with a deficit of ($23,000).
</t>
    </r>
    <r>
      <rPr>
        <u/>
        <sz val="11"/>
        <rFont val="Times New Roman"/>
        <family val="1"/>
      </rPr>
      <t xml:space="preserve">
Increase in Funding: $478,000</t>
    </r>
    <r>
      <rPr>
        <sz val="11"/>
        <rFont val="Times New Roman"/>
        <family val="1"/>
      </rPr>
      <t xml:space="preserve">
As communicated at 2nd quarter, the MOHLTC announced an increase to our CMI for 2014 resulting in an additional $278,000 in revenue for 2014. The MOHLTC also communicated an increase to the resident accommodation rates effective September 1, 2014. The additional revenue expected from this rate increase will be approximately $76,000 for 2014. In September the MOHLTC also announced a 2% increase in funding within the nursing and personal care envelope. This will yield an additional $109,200 for 2014. In 2014 Huron Lodge received CARF Accreditation for three years. As such additional funding is provided by the Ministry for any accredited home. In 2014 Huron Lodge will receive an additional $14,800 in funding related to CARF accreditation.  In total, additional funding expected in 2014 in excess of the budget is $478,000.
</t>
    </r>
    <r>
      <rPr>
        <u/>
        <sz val="11"/>
        <rFont val="Times New Roman"/>
        <family val="1"/>
      </rPr>
      <t xml:space="preserve">
WSIB: ($11,000)</t>
    </r>
    <r>
      <rPr>
        <sz val="11"/>
        <rFont val="Times New Roman"/>
        <family val="1"/>
      </rPr>
      <t xml:space="preserve">
The department continues to have obligations to pay WSIB expenses, which are currently projected to end the year in a budget shortfall of ($11,000). Through diligent processes and assistance from Human Resources, Huron Lodge has been able to effectively mitigate WSIB costs throughout the year. However, it should be noted that costs to replace staff who are off sick and on modified duties due to non-occupational injuries continues to increase. It is expected these costs will equate to approximately $100,000 by year end. This variance is included in with Salary Accounts.
</t>
    </r>
    <r>
      <rPr>
        <u/>
        <sz val="11"/>
        <rFont val="Times New Roman"/>
        <family val="1"/>
      </rPr>
      <t>Other Miscellaneous Accounts: ($52,000)</t>
    </r>
    <r>
      <rPr>
        <sz val="11"/>
        <rFont val="Times New Roman"/>
        <family val="1"/>
      </rPr>
      <t xml:space="preserve">
Other miscellaneous accounts are projected to end the year with an unfavourable variance of approximately ($52,000) primarily due to building maintenance services. As the building operates on a 24 hour, 7 days a week basis, the cost of the repairs to both the building and equipment is at risk for a budget shortfall.  The department continues to review these accounts monthly to minimize any deficits by year end.
</t>
    </r>
    <r>
      <rPr>
        <u/>
        <sz val="11"/>
        <rFont val="Times New Roman"/>
        <family val="1"/>
      </rPr>
      <t xml:space="preserve">
Nursing Supplies and Incontinence Products: ($183,000)</t>
    </r>
    <r>
      <rPr>
        <sz val="11"/>
        <rFont val="Times New Roman"/>
        <family val="1"/>
      </rPr>
      <t xml:space="preserve">
Nursing Supplies and Incontinence Product costs are a challenge for the department.  With the increasing acuity of residents, nursing supplies and incontinence products may see an unfavourable variance of ($183,000) primarily due to the increased costs of linen services.  As previously communicated, the contract for linen services had expired at the end of 2013. Until recently, Huron Lodge had negotiated with the current provider for a month to month agreement until an RFP could be completed. In August of 2014 the RFP was completed with the successful proponent being Brit-Linen, the current vendor. However, as a result of the RFP the current rate per pound of linen cleaned will increase from $0.45/lb to $0.49/lb effective December 1st. Through Facility Operations, a budget issue will be brought forward as part of the 2015 Budget Process to accommodate this increase.
</t>
    </r>
    <r>
      <rPr>
        <u/>
        <sz val="11"/>
        <rFont val="Times New Roman"/>
        <family val="1"/>
      </rPr>
      <t>Salary Accounts: ($255,000)</t>
    </r>
    <r>
      <rPr>
        <sz val="11"/>
        <rFont val="Times New Roman"/>
        <family val="1"/>
      </rPr>
      <t xml:space="preserve">
Salaries are projected to end the year with a deficit of ($255,000).  Salaries are difficult to project because the department is obligated to replace staff in the event of absences due to non-occupational accommodations and modified duties due to WSIB, attendance at work issues and mandatory training.  The replacement costs of salaries will continue to be monitored closely by the department and reported in subsequent variance reports. Included in this projected year end variance is approximately ($57,000) in replacement costs within the Nursing Division due to scheduling to comply with the new 2014 vacation carryforward procedure.
</t>
    </r>
  </si>
  <si>
    <t xml:space="preserve">This budget line item refers to the City's annual grant to the Windsor Public Library. As per consistent practice, based on the Council approved annual grant amount ($7.3M), four equal quarterly payments are made to the WPL. Therefore, there are no variances within this line item. Should there be a variance within the WPL's operating budget, it will be reported through the Board and addressed as such.  
</t>
  </si>
  <si>
    <r>
      <rPr>
        <u/>
        <sz val="11"/>
        <rFont val="Times New Roman"/>
        <family val="1"/>
      </rPr>
      <t xml:space="preserve">Essex Region Conservation Authority (ERCA): $3,600
</t>
    </r>
    <r>
      <rPr>
        <sz val="11"/>
        <rFont val="Times New Roman"/>
        <family val="1"/>
      </rPr>
      <t>Due to timing of budget approvals, the City budget will generate a small surplus of approximately $3,600.</t>
    </r>
    <r>
      <rPr>
        <u/>
        <sz val="11"/>
        <rFont val="Times New Roman"/>
        <family val="1"/>
      </rPr>
      <t xml:space="preserve">
Health Unit: ($196,720)</t>
    </r>
    <r>
      <rPr>
        <sz val="11"/>
        <rFont val="Times New Roman"/>
        <family val="1"/>
      </rPr>
      <t xml:space="preserve">
At their regular meeting held on January 16, 2014, the Windsor-Essex County Health Unit Board approved a 2014 Budget.  The approved budget was $17,708,251, inclusive of a one-time request of $100,000.  The City’s share of the base budget is $2,619,862 and $13,561 of the one-time request, bringing the total to $2,633,423 and thereby resulting in a budget deficit of ($196,720).  
</t>
    </r>
    <r>
      <rPr>
        <u/>
        <sz val="11"/>
        <rFont val="Times New Roman"/>
        <family val="1"/>
      </rPr>
      <t>Land Ambulance: ($405,000)</t>
    </r>
    <r>
      <rPr>
        <sz val="11"/>
        <rFont val="Times New Roman"/>
        <family val="1"/>
      </rPr>
      <t xml:space="preserve">
The land ambulance budget was not available from the County when the City’s budget was approved in December 2013, and a status quo budget estimate was made for the City’s share of costs.   Based on the 2014 land ambulance budget approved by the County on February 19, 2014, the City’s share will be approximately $305,000 higher than budgeted by the City.   In addition, EMS is currently projecting operations to be over budget (City share) by $100,000.
</t>
    </r>
  </si>
  <si>
    <t>1) The WPS continues to aggressively monitor and control overtime costs which have slowly been decreasing over the past few years, however, with the occurrence of unforeseen major crimes, investigation and corresponding court costs will rise accordingly.  
2) The Service has also been very diligent in delaying the replacement of equipment and trying to extend the life through repairs and maintenance, unfortunately, we have begun to reach the point where equipment has become obsolete with service and parts no longer available. This is forcing the resulting replacements in order to continue to provide service and to ensure the health and safety of our employees.  All purchasing is done in accordance with the city purchasing bylaw.</t>
  </si>
  <si>
    <r>
      <t xml:space="preserve">Overall, Housing and Children Services is projecting a year end surplus of $359,000 for 2014 as follows:
</t>
    </r>
    <r>
      <rPr>
        <u/>
        <sz val="11"/>
        <rFont val="Times New Roman"/>
        <family val="1"/>
      </rPr>
      <t>Housing Subsidy Surplus: $577,000</t>
    </r>
    <r>
      <rPr>
        <sz val="11"/>
        <rFont val="Times New Roman"/>
        <family val="1"/>
      </rPr>
      <t xml:space="preserve">
Housing is projecting a net city surplus of $577,000.  Of this surplus, $264,000 (net city) is due to lower mandated subsidy payments required by service providers.   Service provider 2013-2014 year end subsidy reconciliations is also expected to add $325,000 (net city) to the surplus on a one-time basis. Offsetting the surplus is a deficit of ($12,000) related to unbudgeted staffing cost (displaced job). 
</t>
    </r>
    <r>
      <rPr>
        <u/>
        <sz val="11"/>
        <rFont val="Times New Roman"/>
        <family val="1"/>
      </rPr>
      <t xml:space="preserve">
Children's Services: $274,000
</t>
    </r>
    <r>
      <rPr>
        <sz val="11"/>
        <rFont val="Times New Roman"/>
        <family val="1"/>
      </rPr>
      <t xml:space="preserve">Children Services is projecting a $274,000 city surplus. In 2014 over $1,000,000 in additional funding from the province was received for the childcare envelope thereby reducing the need for a municipal contribution to the budget.  This, coupled with a lower overall demand for childcare funding in the community has created a surplus.
</t>
    </r>
    <r>
      <rPr>
        <u/>
        <sz val="11"/>
        <rFont val="Times New Roman"/>
        <family val="1"/>
      </rPr>
      <t>Windsor Essex Community Housing Corporation (WECHC): ($492,000)</t>
    </r>
    <r>
      <rPr>
        <sz val="11"/>
        <rFont val="Times New Roman"/>
        <family val="1"/>
      </rPr>
      <t xml:space="preserve">
Windsor Essex Community Housing Corporation (WECHC) is projecting a city year end deficit of ($492,000).  WECHC's projected deficit is due in part to the 2012 MPAC reassessment process (Public Housing portfolio) and the resulting increase in property tax expense in 2014 ($569,000) net city along with increases in 2014 utilities costs ($65,000) net city.  This increase is expected to be offset by a savings $142,000 net city as a result of a reduction in legislated subsidies for the Non-Profit Families program.  On March 27, 2014 WECHC submitted a request for reconcideration ("R4R") to the Municipal Property Tax Assessment Corporation (MPAC) for the 2014 taxation year and a response from MPAC has not been received.  A favourable response has the potential to reduce the deficit.                                                                                                                                                                                                                                                                                                                                                                                                                                                                                                                                                                                                                  
</t>
    </r>
  </si>
  <si>
    <t>11</t>
  </si>
  <si>
    <r>
      <t xml:space="preserve">Based on actual expenditures and revenues as at August 31, 2014, the Engineering and Corporate Projects Department is estimating to end the year with a deficit of ($218,500), as follows:.
</t>
    </r>
    <r>
      <rPr>
        <u/>
        <sz val="11"/>
        <rFont val="Times New Roman"/>
        <family val="1"/>
      </rPr>
      <t xml:space="preserve">Licences &amp; Permits: $336,000
</t>
    </r>
    <r>
      <rPr>
        <sz val="11"/>
        <rFont val="Times New Roman"/>
        <family val="1"/>
      </rPr>
      <t xml:space="preserve">Revenues for Licences and Permits are up by over $336,000, compared to budget, mainly due to the issuance of moving permits associated with construction of the Herb Gray Parkway.  This trend is not expected to continue.
</t>
    </r>
    <r>
      <rPr>
        <u/>
        <sz val="11"/>
        <rFont val="Times New Roman"/>
        <family val="1"/>
      </rPr>
      <t>Salary Gapping / Temporary Staff: $21,500</t>
    </r>
    <r>
      <rPr>
        <sz val="11"/>
        <rFont val="Times New Roman"/>
        <family val="1"/>
      </rPr>
      <t xml:space="preserve">
Salary &amp; Benefit charges are expected to come in under budget by approximately $21,500. This favourability is largely due to gapping savings is partially offset by additional staff hired on a temporary basis.
</t>
    </r>
    <r>
      <rPr>
        <u/>
        <sz val="11"/>
        <rFont val="Times New Roman"/>
        <family val="1"/>
      </rPr>
      <t>Other Miscellaneous Expenditures: ($61,000)</t>
    </r>
    <r>
      <rPr>
        <sz val="11"/>
        <rFont val="Times New Roman"/>
        <family val="1"/>
      </rPr>
      <t xml:space="preserve">
Various expense line items are projected to net to a shortfall of ($61,000).
</t>
    </r>
    <r>
      <rPr>
        <u/>
        <sz val="11"/>
        <rFont val="Times New Roman"/>
        <family val="1"/>
      </rPr>
      <t xml:space="preserve">
Delayed Maintenance Cost Savings: ($515,000)</t>
    </r>
    <r>
      <rPr>
        <sz val="11"/>
        <rFont val="Times New Roman"/>
        <family val="1"/>
      </rPr>
      <t xml:space="preserve">
The 2014 budget for Hydro - Maintenance was built on the assumption that the LED Streetlight Conversion project would have been substantially completed early in the year and a full year's worth of savings would be realized by the City in 2014. The unrealized maintenance savings for 2014 are expected to be approximately ($515,000).  This projected variance will be partially offset by funding provided through the Budget Stabilization Reserve of ($123,000), as approved in the 2014 Operating Budget.
Any unanticipated events or uncontrollable factors could affect the projections presented here.</t>
    </r>
  </si>
  <si>
    <t xml:space="preserve">Note: The Summary of Description section below was provided by the Windsor Police Service (WPS) administration, as the City Finance Department does not provide financial support to the WPS.
</t>
  </si>
  <si>
    <r>
      <rPr>
        <sz val="11"/>
        <rFont val="Times New Roman"/>
        <family val="1"/>
      </rPr>
      <t>The Corporate Human Resource Accounts is projecting a surplus of $704,000 at third quarter as described below.</t>
    </r>
    <r>
      <rPr>
        <u/>
        <sz val="11"/>
        <rFont val="Times New Roman"/>
        <family val="1"/>
      </rPr>
      <t xml:space="preserve">
Green Shield: $700,000
</t>
    </r>
    <r>
      <rPr>
        <sz val="11"/>
        <rFont val="Times New Roman"/>
        <family val="1"/>
      </rPr>
      <t xml:space="preserve">The number of claims filed with Green Shield by employees to August 31 has been trending in a surplus position since January of this year, resulting in a projected year-end surplus of approximately $700,000. Green Shield sends a monthly surplus/deficit financial position based on year-to-date program usage (provided below).  Please note however, that given the uncontrollable nature of Green Shield usage, it is difficult to guarantee that this account will remain in a surplus position to year-end.
January 31: $56,259                              May 31: $186,269
February 28: $123,821                          June 30: $266,275
March 31: $111,343                              July 31: $310,062
April 30: $177,250                                August 31: $474,504
</t>
    </r>
    <r>
      <rPr>
        <u/>
        <sz val="11"/>
        <rFont val="Times New Roman"/>
        <family val="1"/>
      </rPr>
      <t xml:space="preserve">Long Term Disability: $71,000
</t>
    </r>
    <r>
      <rPr>
        <sz val="11"/>
        <rFont val="Times New Roman"/>
        <family val="1"/>
      </rPr>
      <t>This projected surplus of $71,000 is based on reports from Great West Life which provides information on our Long Term Disability (LTD) claims activity i.e., current active claims and highlights whether an employee is likely, ready or unlikely to return to work.  We currently have 32 active LTD claims.  To date there have been 5 claims inactivated as the employee has returned to work or retired and as a result, no longer qualifies for LTD benefits.</t>
    </r>
    <r>
      <rPr>
        <u/>
        <sz val="11"/>
        <rFont val="Times New Roman"/>
        <family val="1"/>
      </rPr>
      <t xml:space="preserve">
Group Life Insurance Program: ($67,000)
</t>
    </r>
    <r>
      <rPr>
        <sz val="11"/>
        <rFont val="Times New Roman"/>
        <family val="1"/>
      </rPr>
      <t>A deficit of ($67,000) is projected to year end in Group Life insurance premiums as a result of salary increases over the last couple of years and no budget adjustments  made to this  program since the 2012 Budget Process.  Note there is a request to increase this for 2015 Budget  to address the shortfall anticipated to continue through 2015. 
The Fringe Rate Stabilization Reserve Fund balance as at August 31 is $4,180,160.</t>
    </r>
    <r>
      <rPr>
        <u/>
        <sz val="11"/>
        <rFont val="Times New Roman"/>
        <family val="1"/>
      </rPr>
      <t xml:space="preserve">
</t>
    </r>
  </si>
  <si>
    <t xml:space="preserve">Q3 - 2014
Projected Surplus / 
(Deficit) </t>
  </si>
  <si>
    <r>
      <t xml:space="preserve">Transit Windsor Administration monitors the operating budget on an ongoing basis and is projecting a year end deficit of ($408,000) at third quarter.  
</t>
    </r>
    <r>
      <rPr>
        <u/>
        <sz val="11"/>
        <rFont val="Times New Roman"/>
        <family val="1"/>
      </rPr>
      <t>Transit Revenue: $200,000</t>
    </r>
    <r>
      <rPr>
        <sz val="11"/>
        <rFont val="Times New Roman"/>
        <family val="1"/>
      </rPr>
      <t xml:space="preserve">
Transit Windsor revenues are projected to exceed budget estimates with a projected surplus of approximately $200,000.                                                                                                                                                                                                                                                                                                                                                                                         
                                                                                                                                                                                                                                                                                                                                                                                                                                                                              </t>
    </r>
    <r>
      <rPr>
        <u/>
        <sz val="11"/>
        <rFont val="Times New Roman"/>
        <family val="1"/>
      </rPr>
      <t xml:space="preserve">Commissions: ($112,000)
</t>
    </r>
    <r>
      <rPr>
        <sz val="11"/>
        <rFont val="Times New Roman"/>
        <family val="1"/>
      </rPr>
      <t xml:space="preserve">Transit commission revenue, realized primarily through sales made at the Windsor International Transit Terminal for Greyhound customers, are currently below budget estimates.  Discussions are ongoing with representative from Greyhound to address this.      </t>
    </r>
    <r>
      <rPr>
        <sz val="11"/>
        <color rgb="FFFF0000"/>
        <rFont val="Times New Roman"/>
        <family val="1"/>
      </rPr>
      <t xml:space="preserve"> </t>
    </r>
    <r>
      <rPr>
        <sz val="11"/>
        <rFont val="Times New Roman"/>
        <family val="1"/>
      </rPr>
      <t xml:space="preserve">                                                                                                                                                                                                                                                                                                                                                                                             
                                                                                                                                                                                                                                                                                </t>
    </r>
    <r>
      <rPr>
        <u/>
        <sz val="11"/>
        <rFont val="Times New Roman"/>
        <family val="1"/>
      </rPr>
      <t xml:space="preserve">Fuel &amp; Lubricants: ($196,000)
</t>
    </r>
    <r>
      <rPr>
        <sz val="11"/>
        <rFont val="Times New Roman"/>
        <family val="1"/>
      </rPr>
      <t xml:space="preserve">Current fuel prices are resulting in a projected deficit in the Fuel and Lubricants account of approximately ($196,000).  The 2014 approved budget for fuel was maintained at $1.00 per litre.  Based on approximately 3 million litres of diesel consumed annually, every $0.01 increase above the budget figure of $1.00 per litre translates to a cost of approximately $30,000.  While the consumption of fuel is consistent with the budget of 3 million litres, the average cost for diesel for Transit Windsor from Jan 1, 2014 to August 31, 2014 was $1.1015 per litre.  This represents a $0.1015 increase, or a price variance of approximately ($203,000) for diesel fuel for the Transit Windsor fleet.  The price of diesel fuel has been declining steadily over the last several months and the spot rate on September 19, 2014 was $0.993.  Using this rate for the remainder of the year will result in a surplus of approximately $7,000.   The fuel price variance projected for the remainder of the year may increase if the spot price of fuel starts to increase again for a variety of reasons. Given the volatility in predicting fuel prices, Transit Windsor will continue to monitor this closely and report the projected variance to the Board of Directors on a monthly basis.                                                                                                                                                                                    
</t>
    </r>
    <r>
      <rPr>
        <u/>
        <sz val="11"/>
        <rFont val="Times New Roman"/>
        <family val="1"/>
      </rPr>
      <t>Salary and Wages: ($300,000)</t>
    </r>
    <r>
      <rPr>
        <sz val="11"/>
        <rFont val="Times New Roman"/>
        <family val="1"/>
      </rPr>
      <t xml:space="preserve">
Salary and Wages accounts are projecting a potential deficit of approximately ($300,000) largely due to the number of detours encountered on existing routes, combined with the continuing need to react to late buses and overloaded buses on the main lines and special events.  Transit Windsor is anticipating that wages will stabilize somewhat as of September 1st with the allocation of the $300,000 for the one time service enhancements, but significant detours will still be experienced on many routes.  
Note that Transit Windsor will become a City department in 2015.          </t>
    </r>
  </si>
  <si>
    <r>
      <t xml:space="preserve">The Building Department is projecting an approximate $13,000 operating surplus for 2014.
</t>
    </r>
    <r>
      <rPr>
        <u/>
        <sz val="11"/>
        <rFont val="Times New Roman"/>
        <family val="1"/>
      </rPr>
      <t>Salary Gapping: $31,000</t>
    </r>
    <r>
      <rPr>
        <sz val="11"/>
        <rFont val="Times New Roman"/>
        <family val="1"/>
      </rPr>
      <t xml:space="preserve">
Salary gapping totalling $31,000 can be attributed to: (1) the temporary gapping of one Customer Service Representative that retired and is now being replaced; (2) the temporary gapping of two Building Inspectors that retired in the recent quarter and for which replacements are currently being recruited and; (3) the temporary gapping of one By-law Enforcement Officer who is currently assuming a temporary assignment in the City Clerk Department.  A temporary By-law Officer vacancy has been back filled for the remainder of the duration of the acting assignment.  
</t>
    </r>
    <r>
      <rPr>
        <u/>
        <sz val="11"/>
        <rFont val="Times New Roman"/>
        <family val="1"/>
      </rPr>
      <t>Minor Miscellaneous Expense Account Variances: $11,000</t>
    </r>
    <r>
      <rPr>
        <sz val="11"/>
        <rFont val="Times New Roman"/>
        <family val="1"/>
      </rPr>
      <t xml:space="preserve">
Also contributing to the projected Building surplus is $11,000 in mitigated postage, office supplies and training and other minor operating expense line items.  
</t>
    </r>
    <r>
      <rPr>
        <u/>
        <sz val="11"/>
        <rFont val="Times New Roman"/>
        <family val="1"/>
      </rPr>
      <t>Projected Fee Revenue Shortfall (Property Standards): ($29,000)</t>
    </r>
    <r>
      <rPr>
        <sz val="11"/>
        <rFont val="Times New Roman"/>
        <family val="1"/>
      </rPr>
      <t xml:space="preserve">
A revenue shortfall of ($15,000) from property standards enforcement is projected in terms of lower than budgeted fee collections due to Building Inspectors having to prioritize their time on Permits activity to conduct inspections within legislated time frames as opposed to being able to follow up on property standards complaints. A further revenue shortfall of ($14,000) is projected in relation to dirty yards enforcement as property owners seem to be more compliant in responding to complaints and cleaning up their properties.
</t>
    </r>
    <r>
      <rPr>
        <u/>
        <sz val="11"/>
        <rFont val="Times New Roman"/>
        <family val="1"/>
      </rPr>
      <t>Legislated Permits Funded Budget (Non-Tax Levy)</t>
    </r>
    <r>
      <rPr>
        <sz val="11"/>
        <rFont val="Times New Roman"/>
        <family val="1"/>
      </rPr>
      <t xml:space="preserve">
The Department is projecting a negative variance of ($172,000), mainly due to lower permit revenues, offset by some salary gapping savings.  Permit activity to date has been largely related to renovations, residential and other lower cost projects as opposed to institutional, commercial and industrial projects which generate greater revenue. Any revenue shortfalls require a similar draw on the Building Permits Fee Reserve. When adding the projected ($172,000) variance to the 2014 budgeted draw of ($523,400), the reserve draw is estimated to be ($695,400) by the end of the year.  The 2013 year end life to date cumulative reserve fund balance was ($9,591,527) deficit. A dedicated offsetting reserve fund called the Building Department Fee Contra Reserve has balance of $9,589,133 as of September 30th. This fund was established to offset the accumulated deficit in the Building Department Reserve Fund.</t>
    </r>
  </si>
  <si>
    <r>
      <t xml:space="preserve">WFRS is projecting a deficit of ($440,000) at third quarter as described below. 
</t>
    </r>
    <r>
      <rPr>
        <u/>
        <sz val="11"/>
        <rFont val="Times New Roman"/>
        <family val="1"/>
      </rPr>
      <t>Travel &amp; Training: $45,000</t>
    </r>
    <r>
      <rPr>
        <sz val="11"/>
        <rFont val="Times New Roman"/>
        <family val="1"/>
      </rPr>
      <t xml:space="preserve">
A surplus in the travel &amp; training accounts is projected as daily staff shortages resulting from position vacancies, injuries and illnesses have precluded many employees from participating in training opportunities in 2014.
</t>
    </r>
    <r>
      <rPr>
        <u/>
        <sz val="11"/>
        <rFont val="Times New Roman"/>
        <family val="1"/>
      </rPr>
      <t>Vehicle Repairs: ($20,000)</t>
    </r>
    <r>
      <rPr>
        <sz val="11"/>
        <rFont val="Times New Roman"/>
        <family val="1"/>
      </rPr>
      <t xml:space="preserve">
A deficit in the vehicle repairs account is anticipated due to costs associated with the repairs to two vehicles involved in separate accidents in 2014.
</t>
    </r>
    <r>
      <rPr>
        <u/>
        <sz val="11"/>
        <rFont val="Times New Roman"/>
        <family val="1"/>
      </rPr>
      <t>Recruit Training: ($35,000)</t>
    </r>
    <r>
      <rPr>
        <sz val="11"/>
        <rFont val="Times New Roman"/>
        <family val="1"/>
      </rPr>
      <t xml:space="preserve">
The recruit training budget was established to record the costs associated with running the training program for new firefighter recruits, and is set to handle the estimated costs associated with one recruit class.  As a second recruit class was required in 2014, a deficit of ($35,000) is anticipated in this account this year. 
</t>
    </r>
    <r>
      <rPr>
        <u/>
        <sz val="11"/>
        <rFont val="Times New Roman"/>
        <family val="1"/>
      </rPr>
      <t>Fire Uniforms: ($40,000)</t>
    </r>
    <r>
      <rPr>
        <sz val="11"/>
        <rFont val="Times New Roman"/>
        <family val="1"/>
      </rPr>
      <t xml:space="preserve">
Per the collective agreement,WFRS personnel are allocated a set number of points each year to use towards the “purchase” of Fire uniform items.  It is anticipated that the expenditures necessitated by this point usage, coupled with the costs incurred to outfit new recruits, will exceed the budgeted amount by approximately ($40,000) in 2014.  As no funds remain in the associated reserve account, the variance will be reflected in the operating budget. 
</t>
    </r>
    <r>
      <rPr>
        <u/>
        <sz val="11"/>
        <rFont val="Times New Roman"/>
        <family val="1"/>
      </rPr>
      <t>County Apparatus Revenue: ($50,000)</t>
    </r>
    <r>
      <rPr>
        <sz val="11"/>
        <rFont val="Times New Roman"/>
        <family val="1"/>
      </rPr>
      <t xml:space="preserve">
The Apparatus division will be unable to perform to the volume of work expected - and still meet the maintenance needs of WFRS vehicles and equipment - and therefore the recovery from the county will be lower than budgeted in 2014.  Contributing factors to the backlog include:
• An Emergency Technician position was filled in the beginning of 2014, and the technician is currently undergoing the mandatory three year Master Emergency Vehicle Technician (EVT) program.  While the mechanic is able to service vehicles, it will take time for his pace to reach that of the experienced technicians.
• In addition to the vacancy of the technician position, an unanticipated leave of absence was required.
• Several new fire apparatus were delivered in 2013 and early 2014, which required upfitting to prepare them for service.
The division is slowly relieving the backlog and is working towards addressing county apparatus needs.
</t>
    </r>
    <r>
      <rPr>
        <u/>
        <sz val="11"/>
        <rFont val="Times New Roman"/>
        <family val="1"/>
      </rPr>
      <t>Fire Prevention User Fees: ($60,000)</t>
    </r>
    <r>
      <rPr>
        <sz val="11"/>
        <rFont val="Times New Roman"/>
        <family val="1"/>
      </rPr>
      <t xml:space="preserve">
The Fire Prevention user fee budget was increased by $72,500 in 2014 due to the establishment of new fees for fire safety plan reviews, firework pyro applications &amp; reviews and special events applications &amp; reviews.  Several factors, including new leadership in the division, recurring vacancies and several new staff (6 of 11) requiring training, have resulted in significant reductions in productivity.  Although increased activity is anticipated through the end of the year, it is anticipated that revenue from these sources will fall short of budget.
</t>
    </r>
    <r>
      <rPr>
        <u/>
        <sz val="11"/>
        <rFont val="Times New Roman"/>
        <family val="1"/>
      </rPr>
      <t>WSIB: ($100,000)</t>
    </r>
    <r>
      <rPr>
        <sz val="11"/>
        <rFont val="Times New Roman"/>
        <family val="1"/>
      </rPr>
      <t xml:space="preserve">
A deficit of ($100,000) is projected in the WSIB accounts as a result of new and ongoing claims.
</t>
    </r>
    <r>
      <rPr>
        <u/>
        <sz val="11"/>
        <rFont val="Times New Roman"/>
        <family val="1"/>
      </rPr>
      <t xml:space="preserve">
Net Salary Variance: ($180,000)</t>
    </r>
    <r>
      <rPr>
        <sz val="11"/>
        <rFont val="Times New Roman"/>
        <family val="1"/>
      </rPr>
      <t xml:space="preserve">
A net deficit of ($180,000) in the salary accounts is projected in 2014.  Overtime requirements in the Fire Rescue division have been unusually high as firefighters have worked to cover absences due to a greater than usual number of firefighter injuries and illnesses.  In addition, 12 firefighter positions were vacant to begin the year and two were seconded for new recruit training, resulting in further overtime requirements in the Fire Rescue division.  The projected deficit in the overtime accounts will be partially offset by savings in the permanent salary accounts resulting from both firefighter and other position vacancies within the department.
</t>
    </r>
  </si>
  <si>
    <r>
      <t xml:space="preserve">As of August 31st, the PW Operations Department is projecting an overall deficit of ($2,924,500) for 2014 resulting from several variances related to winter control, depreciation, PIC revenue, parking ticket revenue, road maintenance, and fuel.  
</t>
    </r>
    <r>
      <rPr>
        <i/>
        <sz val="11"/>
        <rFont val="Times New Roman"/>
        <family val="1"/>
      </rPr>
      <t xml:space="preserve">
Fleet Division:</t>
    </r>
    <r>
      <rPr>
        <sz val="11"/>
        <rFont val="Times New Roman"/>
        <family val="1"/>
      </rPr>
      <t xml:space="preserve">
</t>
    </r>
    <r>
      <rPr>
        <u/>
        <sz val="11"/>
        <rFont val="Times New Roman"/>
        <family val="1"/>
      </rPr>
      <t>Depreciation: $289,000</t>
    </r>
    <r>
      <rPr>
        <sz val="11"/>
        <rFont val="Times New Roman"/>
        <family val="1"/>
      </rPr>
      <t xml:space="preserve">
A surplus of $289,000 is projected for depreciation based on the 10-year depreciation forecast.
</t>
    </r>
    <r>
      <rPr>
        <u/>
        <sz val="11"/>
        <rFont val="Times New Roman"/>
        <family val="1"/>
      </rPr>
      <t>Fuel: ($85,000)</t>
    </r>
    <r>
      <rPr>
        <sz val="11"/>
        <rFont val="Times New Roman"/>
        <family val="1"/>
      </rPr>
      <t xml:space="preserve">
A deficit of ($85,000) is projected for fuel purchases related to fuel pricing and the budgeted fuel consumption for 2014 based on the average pricing for 2014 as of August 31st and current pricing.
</t>
    </r>
    <r>
      <rPr>
        <u/>
        <sz val="11"/>
        <rFont val="Times New Roman"/>
        <family val="1"/>
      </rPr>
      <t>Winter Control: ($103,500)</t>
    </r>
    <r>
      <rPr>
        <sz val="11"/>
        <rFont val="Times New Roman"/>
        <family val="1"/>
      </rPr>
      <t xml:space="preserve">
The deficit related to extra fuel and parts used for the winter control fleet charged in the Fleet Division is expected to total approximately ($103,500).  
</t>
    </r>
    <r>
      <rPr>
        <i/>
        <sz val="11"/>
        <rFont val="Times New Roman"/>
        <family val="1"/>
      </rPr>
      <t xml:space="preserve">
Maintenance Division:</t>
    </r>
    <r>
      <rPr>
        <sz val="11"/>
        <rFont val="Times New Roman"/>
        <family val="1"/>
      </rPr>
      <t xml:space="preserve">
</t>
    </r>
    <r>
      <rPr>
        <u/>
        <sz val="11"/>
        <rFont val="Times New Roman"/>
        <family val="1"/>
      </rPr>
      <t>PIC Revenue: $50,000</t>
    </r>
    <r>
      <rPr>
        <sz val="11"/>
        <rFont val="Times New Roman"/>
        <family val="1"/>
      </rPr>
      <t xml:space="preserve">
The Maintenance Division will end 2014 with a surplus of approximately $50,000 related to billings for the parkway for salt and brine provided to PIC.
</t>
    </r>
    <r>
      <rPr>
        <u/>
        <sz val="11"/>
        <rFont val="Times New Roman"/>
        <family val="1"/>
      </rPr>
      <t xml:space="preserve">
Road Maintenance: ($100,000)</t>
    </r>
    <r>
      <rPr>
        <sz val="11"/>
        <rFont val="Times New Roman"/>
        <family val="1"/>
      </rPr>
      <t xml:space="preserve">
The Maintenance Division will end 2014 with a deficit of approximately ($100,000) related to additional road maintenance required as a result of the extreme winter conditions, i.e. frost damage.  The Division is currently performing permanent repairs now that asphalt plants are open, failure to provide this critical frontline service will result in unacceptable risk to the corporation. A report to Council identifying the impacts of the winter conditions with recommendations for the pothole patching / road maintenance program for the remainder of 2014  is anticipated.
</t>
    </r>
    <r>
      <rPr>
        <u/>
        <sz val="11"/>
        <rFont val="Times New Roman"/>
        <family val="1"/>
      </rPr>
      <t>Winter Control: ($2,925,000)</t>
    </r>
    <r>
      <rPr>
        <sz val="11"/>
        <rFont val="Times New Roman"/>
        <family val="1"/>
      </rPr>
      <t xml:space="preserve">
The City of Windsor experienced above-average winter conditions in the 1st quarter of 2014, which will result in an overall deficit in 2014 for the Maintenance Division of PW Operations.  At the time of writing this report (Jan 1 - August 31), PW Operations has a winter control deficit of ($1,631,199).  Based on 2013 actuals for 4th quarter and the current level of winter control costs, Administration is projecting a final year-end deficit of approximately ($2,925,000) in the Maintenance Division.  Should this variance materialize at the end of the year, it will be partially offset by the Council-approved funding from the budget stabilization reserve.  It should also be noted that there is a significant  increase in the number of snow plow damage complaints through 311 received in 2014 to date, 166 to date in 2014 versus 43 in 2013 and 17 in 2012.  
</t>
    </r>
    <r>
      <rPr>
        <i/>
        <sz val="11"/>
        <rFont val="Times New Roman"/>
        <family val="1"/>
      </rPr>
      <t xml:space="preserve">
Traffic Division:</t>
    </r>
    <r>
      <rPr>
        <sz val="11"/>
        <rFont val="Times New Roman"/>
        <family val="1"/>
      </rPr>
      <t xml:space="preserve">
</t>
    </r>
    <r>
      <rPr>
        <u/>
        <sz val="11"/>
        <rFont val="Times New Roman"/>
        <family val="1"/>
      </rPr>
      <t>PIC Revenue: $50,000</t>
    </r>
    <r>
      <rPr>
        <sz val="11"/>
        <rFont val="Times New Roman"/>
        <family val="1"/>
      </rPr>
      <t xml:space="preserve">
The Traffic Division is expecting an overall surplus in recovery revenue of $50,000 related to billings for work performed on the parkway for PIC.
</t>
    </r>
    <r>
      <rPr>
        <u/>
        <sz val="11"/>
        <rFont val="Times New Roman"/>
        <family val="1"/>
      </rPr>
      <t>Parking Ticket Revenue: ($100,000)</t>
    </r>
    <r>
      <rPr>
        <sz val="11"/>
        <rFont val="Times New Roman"/>
        <family val="1"/>
      </rPr>
      <t xml:space="preserve">
The Traffic Division will end 2014 with a deficit of approximately ($100,000) related to parking ticket revenue.  Parking Enforcement has experienced a decrease in the number of tickets issued since the beginning of 2014 which will likely result in a decrease in realized revenues.  It should also be noted that the Administrative Penalty System (AMPS) went into effect in November of 2013, however, full implementation of the system and associated fees did not begin until May of 2014.  The new AMPS system has generated additional revenue for late payment administration fees which has mitigated the expected parking ticket deficit.
</t>
    </r>
  </si>
  <si>
    <r>
      <rPr>
        <u/>
        <sz val="11"/>
        <rFont val="Times New Roman"/>
        <family val="1"/>
      </rPr>
      <t>Windsor International Aquatics &amp; Training Centre (WIATC)/Adventure Bay (AB): ($510,000)</t>
    </r>
    <r>
      <rPr>
        <sz val="11"/>
        <rFont val="Times New Roman"/>
        <family val="1"/>
      </rPr>
      <t xml:space="preserve">
The WIATC/AB facility is projecting an overall unfavourable budget variance of ($1,334,500).  This includes a negative variance of ($792,500) for utilities (which is reported in the Corporate Finance utility variance and consistent with how all facilities are reported) as well as an unfavourable variance of ($32,000) for the replacement cost of special UV bulbs (which is reported to Facility Operations).  Therefore, the net reported variance for Recreation and Culture for this facility is ($510,000).
Of the ($792,500) projected variance for utilities, ($550,000) is attributable to hydro costs and approximately ($210,000) is attributed to heating/cooling costs.  Provincial hydro rates have increased 50% from the October/November 2011 rates prevalent when the budget was developed.  In addition, consumption has been higher than originally projected.  While rates will continue to fluctuate based on market demand, it is hoped that consumption can be better managed going forward due to a planned energy audit and by consolidating the use of the facility by taking into account usage patterns and operating hours.
</t>
    </r>
  </si>
  <si>
    <t xml:space="preserve">The remaining ($260,000) deficit is a largely the result of less than anticipated revenues (approximately $200,000) and the remaining $60,000 is comprised of TSSA inspections and operational supplies. 
As this is the first year of operations of this facility, there is no historical record of seasonality impacts.  Therefore, the projections are subject to greater variability than for other facilities for which we have historical data available.  Additionally, the first eight months of operating this very complex and unique facility have afforded administration with the experience and knowledge base to make proactive adjustments to the facility operations and programming that will allow for implementing changes aimed at positively impacting the bottom line. Some of these operational decisions have been detailed in the mitigating efforts section. Similar to all municipally owned recreation facilities which are operated based on affordable fees as a service to the overall community, there is a net operating cost that is picked up by tax payers.
</t>
  </si>
  <si>
    <r>
      <t xml:space="preserve">The Legal department, now including POA, projects a year end deficit of ($1,243,000) as detailed below.
</t>
    </r>
    <r>
      <rPr>
        <i/>
        <sz val="11"/>
        <rFont val="Times New Roman"/>
        <family val="1"/>
      </rPr>
      <t>Legal Services, Real Estate Services, Risk Management and Purchasing Divisions:</t>
    </r>
    <r>
      <rPr>
        <sz val="11"/>
        <rFont val="Times New Roman"/>
        <family val="1"/>
      </rPr>
      <t xml:space="preserve">
</t>
    </r>
    <r>
      <rPr>
        <u/>
        <sz val="11"/>
        <rFont val="Times New Roman"/>
        <family val="1"/>
      </rPr>
      <t>Salary Gapping: $180,000</t>
    </r>
    <r>
      <rPr>
        <sz val="11"/>
        <rFont val="Times New Roman"/>
        <family val="1"/>
      </rPr>
      <t xml:space="preserve">
A surplus of $180,000 is projected in the salary accounts due to restructuring in the department and position vacancies.
</t>
    </r>
    <r>
      <rPr>
        <u/>
        <sz val="11"/>
        <rFont val="Times New Roman"/>
        <family val="1"/>
      </rPr>
      <t xml:space="preserve">
Site Plan Control Agreements: $20,000</t>
    </r>
    <r>
      <rPr>
        <sz val="11"/>
        <rFont val="Times New Roman"/>
        <family val="1"/>
      </rPr>
      <t xml:space="preserve">
A surplus of $20,000 is projected in this account as public demand for the preparation of site plan agreements and other legal documents has increased in the current year.  
</t>
    </r>
    <r>
      <rPr>
        <u/>
        <sz val="11"/>
        <rFont val="Times New Roman"/>
        <family val="1"/>
      </rPr>
      <t>By-Law Prosecutions: ($20,000)</t>
    </r>
    <r>
      <rPr>
        <sz val="11"/>
        <rFont val="Times New Roman"/>
        <family val="1"/>
      </rPr>
      <t xml:space="preserve">
By-law fine revenue has decreased over 50% since 2009, and is anticipated to fall $45,000 short of budget in 2014.  This deficit will be partially offset by budgetary savings of $25,000 resulting from the shift back to in-house prosecutions. 
</t>
    </r>
    <r>
      <rPr>
        <u/>
        <sz val="11"/>
        <rFont val="Times New Roman"/>
        <family val="1"/>
      </rPr>
      <t>Shared Services Legal Work: ($60,000)</t>
    </r>
    <r>
      <rPr>
        <sz val="11"/>
        <rFont val="Times New Roman"/>
        <family val="1"/>
      </rPr>
      <t xml:space="preserve">
Due to the fewer than anticipated number of files transferred from EnWin, revenue from this source is projected to fall short of budgeted revenue by ($60,000).  
</t>
    </r>
    <r>
      <rPr>
        <u/>
        <sz val="11"/>
        <rFont val="Times New Roman"/>
        <family val="1"/>
      </rPr>
      <t>Canderel Lease Expense: ($140,000)</t>
    </r>
    <r>
      <rPr>
        <sz val="11"/>
        <rFont val="Times New Roman"/>
        <family val="1"/>
      </rPr>
      <t xml:space="preserve">
As previously disclosed in the 2013 year end variance report &amp; earlier 2014 variance reports, a calculation error made by the landlord in respect of the CPI increase required by the Canderel lease resulted in underpayments by the City to the landlord.   Prior to discovery of this issue a budget reduction was taken in respect of this item, which will now result in a negative variance of approximately ($70,000) in this account in 2014.  Further, one of the City’s sub-tenants vacated the premises in early 2013 and a new tenant has yet to be found to occupy the space.  If this vacancy persists, an additional deficit of approximately ($70,000) will result, for a total projected deficit of ($140,000) relating to the leased Canderel property.
</t>
    </r>
    <r>
      <rPr>
        <u/>
        <sz val="11"/>
        <rFont val="Times New Roman"/>
        <family val="1"/>
      </rPr>
      <t>Labour Arbitration and Legal Services Costs: ($240,000)</t>
    </r>
    <r>
      <rPr>
        <sz val="11"/>
        <rFont val="Times New Roman"/>
        <family val="1"/>
      </rPr>
      <t xml:space="preserve">
The legal services &amp; litigation accounts are projected to be in a deficit of approximately ($110,000) at year end due to unanticipated costs incurred relating to the City's appeal of a Property Standards Committee decision, CTC’s appeal of a Property Standards Committee decision, and the CTC federal court appeal of the applicability of the Property Standards by-law to CTC, and ongoing costs associated with the ALS bingo license matter.   Additionally, the labour arbitration account is projected to be in a deficit of ($130,000) due in main part to costs related to a human rights matter, but also to costs for other continuing and new labour arbitration files.
It should be stressed that external legal fees and labour arbitration costs are very difficult to project as it is impossible to determine what actions will be brought forward against the city and which the City would then be obliged to address.   As a result, the final deficits in these accounts may vary materially from current projections.
</t>
    </r>
    <r>
      <rPr>
        <u/>
        <sz val="11"/>
        <rFont val="Times New Roman"/>
        <family val="1"/>
      </rPr>
      <t>Insurance Premiums: ($240,000)</t>
    </r>
    <r>
      <rPr>
        <sz val="11"/>
        <rFont val="Times New Roman"/>
        <family val="1"/>
      </rPr>
      <t xml:space="preserve">
Insurance costs rose significantly for the 2014 policy year.  As actual rates were unknown during the 2014 budget process, the insurance premium budget was estimated based on a 3% increase in property values and a 10% increase over 2013 budgeted premium rates.  For property and transit 
vehicle insurance premiums, these amounts closely approximated actual budgetary requirements.  General liability premiums, however, rose 30% over 2013 rates while City vehicle insurance premiums rose 25%.  As a result of these premium increases as well as an increased Police vehicle count, there will be a negative variance of ($240,000) in the insurance premium account in 2014.  Should this variance materialize at the end of the year, Council may be asked to approve funding from the Self Insurance Reserve.
</t>
    </r>
    <r>
      <rPr>
        <i/>
        <sz val="11"/>
        <rFont val="Times New Roman"/>
        <family val="1"/>
      </rPr>
      <t>Provincial Offences Division:</t>
    </r>
    <r>
      <rPr>
        <sz val="11"/>
        <rFont val="Times New Roman"/>
        <family val="1"/>
      </rPr>
      <t xml:space="preserve">
Per the Windsor/Essex Area Intermunicipal Courts Service Agreement cost-sharing formula for 2014, the City portion of revenue and costs is set at 52.43%.  All variances below are representative of the net City portion, except where otherwise noted.
</t>
    </r>
    <r>
      <rPr>
        <u/>
        <sz val="11"/>
        <rFont val="Times New Roman"/>
        <family val="1"/>
      </rPr>
      <t>Litigation Costs: $37,000</t>
    </r>
    <r>
      <rPr>
        <sz val="11"/>
        <rFont val="Times New Roman"/>
        <family val="1"/>
      </rPr>
      <t xml:space="preserve">
Savings are anticipated in the Litigation account by diligently monitoring and scheduling court time throughout the entire year.
</t>
    </r>
    <r>
      <rPr>
        <u/>
        <sz val="11"/>
        <rFont val="Times New Roman"/>
        <family val="1"/>
      </rPr>
      <t>Salary Gapping: $34,000</t>
    </r>
    <r>
      <rPr>
        <sz val="11"/>
        <rFont val="Times New Roman"/>
        <family val="1"/>
      </rPr>
      <t xml:space="preserve">
Salary savings of approximately $34,000 are projected due to a retirement and subsequent restructuring of the Division.
</t>
    </r>
    <r>
      <rPr>
        <u/>
        <sz val="11"/>
        <rFont val="Times New Roman"/>
        <family val="1"/>
      </rPr>
      <t>Collection Charges: $26,000</t>
    </r>
    <r>
      <rPr>
        <sz val="11"/>
        <rFont val="Times New Roman"/>
        <family val="1"/>
      </rPr>
      <t xml:space="preserve">
A surplus projection of $26,000 in collection charges representing a change in the services required to the end of the year.
</t>
    </r>
    <r>
      <rPr>
        <u/>
        <sz val="11"/>
        <rFont val="Times New Roman"/>
        <family val="1"/>
      </rPr>
      <t>Court Fines: ($840,000)</t>
    </r>
    <r>
      <rPr>
        <sz val="11"/>
        <rFont val="Times New Roman"/>
        <family val="1"/>
      </rPr>
      <t xml:space="preserve">
The Court Fines collected by the Provincial Offences Division has experienced an overall decline since 2013 due to a reduction in charging volumes and fewer funds collected from outstanding Court Fines. Based on the amount of Court Fines received at 3rd quarter, it is projected that the total Court Fine account will end the year at approximately $5,600,000, representing a gross budgetary shortfall of ($1,600,000).  The City's share of the deficit will be approximately ($840,000).
</t>
    </r>
  </si>
  <si>
    <t>Fuel &amp; Lubricants</t>
  </si>
  <si>
    <t>Corporate Consulting</t>
  </si>
  <si>
    <r>
      <rPr>
        <u/>
        <sz val="11"/>
        <rFont val="Times New Roman"/>
        <family val="1"/>
      </rPr>
      <t>Corporate Consulting: $113,000</t>
    </r>
    <r>
      <rPr>
        <sz val="11"/>
        <rFont val="Times New Roman"/>
        <family val="1"/>
      </rPr>
      <t xml:space="preserve">
The CAO's Office budget contains provisional/contingency budgets for Corporate consulting and other matters.   It is difficult to anticipate until very close to year end, what these budgets may be used for, therefore while a surplus is projected as of 3rd quarter 2014, there is possibility that a portion of these funds may be used by year-end.</t>
    </r>
  </si>
  <si>
    <r>
      <t>The following year-end variances are projected in the Corporate Financial Accounts:</t>
    </r>
    <r>
      <rPr>
        <u/>
        <sz val="11"/>
        <rFont val="Times New Roman"/>
        <family val="1"/>
      </rPr>
      <t xml:space="preserve">
</t>
    </r>
    <r>
      <rPr>
        <i/>
        <sz val="11"/>
        <rFont val="Times New Roman"/>
        <family val="1"/>
      </rPr>
      <t>General Corporate Accounts</t>
    </r>
    <r>
      <rPr>
        <u/>
        <sz val="11"/>
        <rFont val="Times New Roman"/>
        <family val="1"/>
      </rPr>
      <t xml:space="preserve">
Corporate Provision for JJE Retro, Unanticipated WSIB costs and NU Overtime: $955,000</t>
    </r>
    <r>
      <rPr>
        <sz val="11"/>
        <rFont val="Times New Roman"/>
        <family val="1"/>
      </rPr>
      <t xml:space="preserve"> 
The approved budget contains corporate provisions for JJE retro payments of $500,000, unanticipated WSIB costs of $150,000, and overtime provision for eligible non-union members of $305,000. The actual expenditures are charged to the appropriate department, but as noted the budget is contained in the corporate accounts, therefore there is typically a surplus in these accounts offset by the charges in the various departments.
</t>
    </r>
    <r>
      <rPr>
        <u/>
        <sz val="11"/>
        <rFont val="Times New Roman"/>
        <family val="1"/>
      </rPr>
      <t>Net Interest on Investments: $100,000  </t>
    </r>
    <r>
      <rPr>
        <sz val="11"/>
        <rFont val="Times New Roman"/>
        <family val="1"/>
      </rPr>
      <t xml:space="preserve">
As a result of the reserve balances being higher than projected the interest paid to reserves account is projected to be in a deficit position of approximately ($200,000) at year end. This will be offset by a $300,000 surplus in interest earned on investments due to additional monies available to the corporation as a result of the projected growth of reserves.
</t>
    </r>
    <r>
      <rPr>
        <u/>
        <sz val="11"/>
        <rFont val="Times New Roman"/>
        <family val="1"/>
      </rPr>
      <t>MPAC: $69,000</t>
    </r>
    <r>
      <rPr>
        <sz val="11"/>
        <rFont val="Times New Roman"/>
        <family val="1"/>
      </rPr>
      <t xml:space="preserve">
The Municipality is mandated to use the Municipal Property Assessment Corporation (MPAC) for its assessment services.  Due to the timing of the approved budget, the total 2014 MPAC requirement is lower than what was originally projected, and therefore, a surplus of approximately $69,000 is expected.
</t>
    </r>
    <r>
      <rPr>
        <u/>
        <sz val="11"/>
        <rFont val="Times New Roman"/>
        <family val="1"/>
      </rPr>
      <t>Payments in Lieu of Taxes: ($100,000)</t>
    </r>
    <r>
      <rPr>
        <sz val="11"/>
        <rFont val="Times New Roman"/>
        <family val="1"/>
      </rPr>
      <t xml:space="preserve">
Under the applicable legislation, the municipality retains the educational levy portion relataive to certain properties that are charged payments in lieu of taxes.   Largely due to declining Education Rates that were provided by the province in early 2014 after the 2014 municipal budget had been approved for the Municipal Share of Education Taxes, he Payments in Lieu of Taxes accounts are projected to be in a deficit of approximately ($180,000) by year-end.  This deficit will be offset by an $80,000 surplus projected in Right of Way Billings/Bridge and Tunnel Tax revenue.
</t>
    </r>
    <r>
      <rPr>
        <u/>
        <sz val="11"/>
        <rFont val="Times New Roman"/>
        <family val="1"/>
      </rPr>
      <t xml:space="preserve">
Sick Leave Gratuity: ($100,000)</t>
    </r>
    <r>
      <rPr>
        <sz val="11"/>
        <rFont val="Times New Roman"/>
        <family val="1"/>
      </rPr>
      <t xml:space="preserve">
It is projected that Sick Leave Gratuity will end the year with a deficit of ($100,000).  This account is difficult to predict, as the timing of retirements is uncertain.  Although this amount cannot be accurately calculated at this time, there is a risk that a greater negative variance could materialize by the end of the year.
</t>
    </r>
    <r>
      <rPr>
        <u/>
        <sz val="11"/>
        <rFont val="Times New Roman"/>
        <family val="1"/>
      </rPr>
      <t>Employer Health Tax: ($130,000)</t>
    </r>
    <r>
      <rPr>
        <sz val="11"/>
        <rFont val="Times New Roman"/>
        <family val="1"/>
      </rPr>
      <t xml:space="preserve">
Total taxable gross earnings for 2014 are estimated to be approximately $208.7 million based on current YTD totals.  As the rate is 1.95% of gross taxable earnings, a deficit of ($130,000) is projected.
</t>
    </r>
    <r>
      <rPr>
        <u/>
        <sz val="11"/>
        <rFont val="Times New Roman"/>
        <family val="1"/>
      </rPr>
      <t>Canada Pension Plan: ($190,000)</t>
    </r>
    <r>
      <rPr>
        <sz val="11"/>
        <rFont val="Times New Roman"/>
        <family val="1"/>
      </rPr>
      <t xml:space="preserve">
Based on the monthly trends over the last few years, CPP is projected to have a year-end total of $5.95 million.  This leaves a projected deficit of ($190,000) in this account.
</t>
    </r>
    <r>
      <rPr>
        <u/>
        <sz val="11"/>
        <rFont val="Times New Roman"/>
        <family val="1"/>
      </rPr>
      <t xml:space="preserve">Penalty and Interest on Taxes: ($250,000) </t>
    </r>
    <r>
      <rPr>
        <sz val="11"/>
        <rFont val="Times New Roman"/>
        <family val="1"/>
      </rPr>
      <t xml:space="preserve">
A downward trend of accounts falling into arrears as a result of enhanced collection efforts and the improving economy will result in a projected 
deficit of approximately ($250,000) in the Penalty and Interest on Taxes account.
</t>
    </r>
    <r>
      <rPr>
        <i/>
        <sz val="11"/>
        <rFont val="Times New Roman"/>
        <family val="1"/>
      </rPr>
      <t>Corporate Utilities</t>
    </r>
    <r>
      <rPr>
        <sz val="11"/>
        <rFont val="Times New Roman"/>
        <family val="1"/>
      </rPr>
      <t xml:space="preserve">
The third quarter variance was analysed during the third week of September and as such the following energy data is reflective of costs and consumption for the period January to July. 
</t>
    </r>
    <r>
      <rPr>
        <u/>
        <sz val="11"/>
        <rFont val="Times New Roman"/>
        <family val="1"/>
      </rPr>
      <t>Water: $22,000</t>
    </r>
    <r>
      <rPr>
        <sz val="11"/>
        <rFont val="Times New Roman"/>
        <family val="1"/>
      </rPr>
      <t xml:space="preserve">
As a result of a cooler and wetter Spring /Summer a year end budget surplus of $22,000 is projected.
</t>
    </r>
    <r>
      <rPr>
        <u/>
        <sz val="11"/>
        <rFont val="Times New Roman"/>
        <family val="1"/>
      </rPr>
      <t>Thermal Energy: ($230,000)</t>
    </r>
    <r>
      <rPr>
        <sz val="11"/>
        <rFont val="Times New Roman"/>
        <family val="1"/>
      </rPr>
      <t xml:space="preserve">
District Energy provides hot water for heating and chilled water for cooling to six City owned facilities from a central plant located at Caesar’s Windsor Casino. Both AGW &amp; WIATC consumption are trending higher than originally projected  during the 2014 budget formulation. The year end budget deficit is anticipated to be approximately ($230,000).
</t>
    </r>
    <r>
      <rPr>
        <u/>
        <sz val="11"/>
        <rFont val="Times New Roman"/>
        <family val="1"/>
      </rPr>
      <t>Natural Gas: ($286,000)</t>
    </r>
    <r>
      <rPr>
        <sz val="11"/>
        <rFont val="Times New Roman"/>
        <family val="1"/>
      </rPr>
      <t xml:space="preserve">
The harsh winter weather conditions experienced January to March and colder than normal April – June temperatures has resulted in a 10% increase in consumption. Commodity market price is also trending higher ( approximately 35% higher since January)as a result of colder Winter/Spring. These combined factors are contributing to the Gas account  ending the year with a projected budget deficit of ($286,000).
</t>
    </r>
    <r>
      <rPr>
        <u/>
        <sz val="11"/>
        <rFont val="Times New Roman"/>
        <family val="1"/>
      </rPr>
      <t>Hydro: ($735,000)</t>
    </r>
    <r>
      <rPr>
        <sz val="11"/>
        <rFont val="Times New Roman"/>
        <family val="1"/>
      </rPr>
      <t xml:space="preserve">
Same facility consumption data indicates a slight decrease of (1.2%) in electricity usage with costs  trending 2.0% higher.  Price volatility (monthly electricity price plus global adjustment) as reported in the 1st &amp; 2nd Quarter variance  continues to create uncertainty relative to administration’s  ability to forecast reasonably accurate year end projections. To further underscore the unpredictable nature of the electricity market, the global adjustment was set as low as $-0.01 (April) to as high as  $.08 (September) a differential of over $0.09 cents per kWh. (The global adjustment is the difference between the total payments made to certain contracted or regulated suppliers of electricity and conservation programs/services and any offsetting revenues they receive from sales to customers. The wholesale price of electricity plus the GA equals the commodity price of electricity.)  To provide further perspective a 1 cent increase in costs per kWh has an annualized impact of $900,000 to the utility budget.  As indicated in the introduction above, third quarter data for all accounts is incomplete (July data) which adds further risk to year end projections. A range between $600,000 to $900,000 has been identified as the hydro budget deficit risk. Projecting quarterly energy variances is always a challenge given the ongoing monthly price fluctuations that occur in the marketplace. Based on the Provincial Government’s estimated 8-10% annual electricity cost increase, Administration is projecting ($735,000) as the year end hydro budget deficit.
It should be noted that weather conditions throughout the Summer and Fall  in tandem with rate volatility will continue to have an impact on costs despite continuing efforts to reduce consumption.
</t>
    </r>
  </si>
  <si>
    <r>
      <t>Overall, Parks &amp; Facility Operations is projecting a year-end variance of ($249,500).</t>
    </r>
    <r>
      <rPr>
        <i/>
        <sz val="11"/>
        <rFont val="Times New Roman"/>
        <family val="1"/>
      </rPr>
      <t xml:space="preserve">
Parks Operations Division:
</t>
    </r>
    <r>
      <rPr>
        <sz val="11"/>
        <rFont val="Times New Roman"/>
        <family val="1"/>
      </rPr>
      <t xml:space="preserve">The Parks Operations Division is projecting a year end deficit of ($256,500).
</t>
    </r>
    <r>
      <rPr>
        <u/>
        <sz val="11"/>
        <rFont val="Times New Roman"/>
        <family val="1"/>
      </rPr>
      <t xml:space="preserve">
Tree Trim Revenue, Vacant Lots, Rental Income: $280,000</t>
    </r>
    <r>
      <rPr>
        <sz val="11"/>
        <rFont val="Times New Roman"/>
        <family val="1"/>
      </rPr>
      <t xml:space="preserve">
A projected revenue surplus of $280,000 is attributed to increased recoveries in tree trimming, the annual plant sale, Council approved funding for median work and recoveries from vacant lot seasonal work such as snow removal and grass cutting.
</t>
    </r>
    <r>
      <rPr>
        <u/>
        <sz val="11"/>
        <rFont val="Times New Roman"/>
        <family val="1"/>
      </rPr>
      <t xml:space="preserve">
Wages, Other Pay, and Contracted Services: $65,000</t>
    </r>
    <r>
      <rPr>
        <sz val="11"/>
        <rFont val="Times New Roman"/>
        <family val="1"/>
      </rPr>
      <t xml:space="preserve">
The wage accounts collectively represent a deficit of ($137,000), however this wage variance is more than offset by savings in Contracted Services. The projected wage variance is also attributed to changes in work processes, including the hiring of part-time staff to manage work that had been previously performed under contract.  In addition to efficiencies gained thru the in-sourcing of work , the overage in wage and benefit costs is more than offset by a projected year-end surplus of $202,000 in External Contract Work and Other Purchased Services.  Council’s recent decision to in-source the hanging basket and planter program is one of the contributing factors to this positive variance, and is the model and framework on which future operational business decisions will be based upon.
</t>
    </r>
    <r>
      <rPr>
        <u/>
        <sz val="11"/>
        <rFont val="Times New Roman"/>
        <family val="1"/>
      </rPr>
      <t>Fuel &amp; Lubricants: ($58,000)</t>
    </r>
    <r>
      <rPr>
        <sz val="11"/>
        <rFont val="Times New Roman"/>
        <family val="1"/>
      </rPr>
      <t xml:space="preserve">
A deficit of ($58,000) is projected in this account due to both increased prices and usage.
</t>
    </r>
    <r>
      <rPr>
        <u/>
        <sz val="11"/>
        <rFont val="Times New Roman"/>
        <family val="1"/>
      </rPr>
      <t xml:space="preserve">
Overtime: ($260,000)</t>
    </r>
    <r>
      <rPr>
        <sz val="11"/>
        <rFont val="Times New Roman"/>
        <family val="1"/>
      </rPr>
      <t xml:space="preserve">
There is a projected deficit in overtime of ($260,000), with approximately ($225,000) of the overtime variance attributable to Winter Control.   
</t>
    </r>
    <r>
      <rPr>
        <u/>
        <sz val="11"/>
        <rFont val="Times New Roman"/>
        <family val="1"/>
      </rPr>
      <t>Equipment &amp; Infrastructure Repairs and Materials: ($283,500)</t>
    </r>
    <r>
      <rPr>
        <sz val="11"/>
        <rFont val="Times New Roman"/>
        <family val="1"/>
      </rPr>
      <t xml:space="preserve">
There is a projected deficit of ($283,500) in Equipment Repairs and Infrastructure Maintenance Materials, which is a slight improvement when compared to the past few years.  The materials budget continues to be a pressure for the Parks Division.  With aging infrastructure, equipment, and unexpected repairs, the department continues to strive to focus on core duties, to find efficiencies where possible and to keep costs within the limits of their budget while providing facilities, playfields and parks areas that are safe, clean, and operating at a service-level that the citizens and stakeholders are accustomed and have come to expect.
In summary, the Parks Operations Division variance for this year is mainly attributed to Winter Control activities.  While there are variances in some operating accounts, these are largely offsetting each other, with Winter Control being the largest uncontrollable variance faced by the department this year.  Should this ($263,500) deficit materialize at the end of the year, it will be partially offset by the Council-approved funding from the budget stabilization reserve.
Heavy storms in the area, overly wet weather, heavy graffiti and vandalism as well as unforeseeable requests and special events can significantly affect the demands of Parks' work plans and budget dollars.                                   
</t>
    </r>
    <r>
      <rPr>
        <i/>
        <sz val="11"/>
        <rFont val="Times New Roman"/>
        <family val="1"/>
      </rPr>
      <t xml:space="preserve">
Facilities Operations Division:   </t>
    </r>
    <r>
      <rPr>
        <sz val="11"/>
        <rFont val="Times New Roman"/>
        <family val="1"/>
      </rPr>
      <t xml:space="preserve">
Overall, Facility Operations is reporting a projected year-end surplus of $7,000. 
</t>
    </r>
    <r>
      <rPr>
        <u/>
        <sz val="11"/>
        <rFont val="Times New Roman"/>
        <family val="1"/>
      </rPr>
      <t>Operating expenses - Art Gallery of Windsor: $150,000</t>
    </r>
    <r>
      <rPr>
        <sz val="11"/>
        <rFont val="Times New Roman"/>
        <family val="1"/>
      </rPr>
      <t xml:space="preserve">
As this was the first full year of estimating the budget, conservative estimates were used.  A surplus of approximately $150,000 is projected in various operating expense accounts for the Art Gallery in 2014.  This variance has been addressed in the budget issues for the 2015 Operating Budget (2015-0212). 
</t>
    </r>
    <r>
      <rPr>
        <u/>
        <sz val="11"/>
        <rFont val="Times New Roman"/>
        <family val="1"/>
      </rPr>
      <t>Maintenance Costs -  Capitol Theatre: $28,000</t>
    </r>
    <r>
      <rPr>
        <sz val="11"/>
        <rFont val="Times New Roman"/>
        <family val="1"/>
      </rPr>
      <t xml:space="preserve">
Based on actual costs to date, maintenance and caretaking supplies costs are projected to be $28,000 less than budget in 2014.
</t>
    </r>
    <r>
      <rPr>
        <u/>
        <sz val="11"/>
        <rFont val="Times New Roman"/>
        <family val="1"/>
      </rPr>
      <t>UV Replacement Bulbs - WIATC/AB: ($32,000)</t>
    </r>
    <r>
      <rPr>
        <sz val="11"/>
        <rFont val="Times New Roman"/>
        <family val="1"/>
      </rPr>
      <t xml:space="preserve">
This is the replacement cost of special UV bulbs which was an unexpected costs.  These bulbs must be changed twice per year at a cost of $32,000 per change.  Only one change will be necessary this year as they were installed later in the year.
</t>
    </r>
    <r>
      <rPr>
        <u/>
        <sz val="11"/>
        <rFont val="Times New Roman"/>
        <family val="1"/>
      </rPr>
      <t>Salaries &amp; Benefits: ($139,000)</t>
    </r>
    <r>
      <rPr>
        <sz val="11"/>
        <rFont val="Times New Roman"/>
        <family val="1"/>
      </rPr>
      <t xml:space="preserve">
Maintenance Staff ($25,000) -  A deficit of ($25,000) is projected due to wage increases and retroactive payments for some of the maintenance staff.  This deficit is offset by the corporate provision for JJE settlements.
Caretaking Costs - WIATC/AB ($114,000) -  Caretaking costs are expected to exceed the initial budgeted amount due in part to the additional staff required during special events.  Facility Operations is in the process of reducing the number of caretaking shifts as a result of the new operating hours of the WIATC/AB.</t>
    </r>
  </si>
  <si>
    <r>
      <t>1. Reflects the transfer of $2.5 M budget contingency amount to the Budget Stabilization Reserve.  Note that while the Handi Transit Variance is included on page 35</t>
    </r>
    <r>
      <rPr>
        <b/>
        <sz val="10"/>
        <color rgb="FFFF0000"/>
        <rFont val="Times New Roman"/>
        <family val="1"/>
      </rPr>
      <t>,</t>
    </r>
    <r>
      <rPr>
        <sz val="10"/>
        <rFont val="Times New Roman"/>
        <family val="1"/>
      </rPr>
      <t xml:space="preserve"> the amount is not included in the City's overall variance since Handi Transit uses a separate accounting system.</t>
    </r>
  </si>
  <si>
    <r>
      <t xml:space="preserve">The Recreation and Culture department has highlighted potential variance risks within the operating divisions based on all available information at the time of this report.  The department is projecting a potential overall year end variance of ($795,000).  There continues to be additional revenue in the Recreation and Culture department that is realized in the fourth quarter of the year.  These revenue patterns make it difficult to accurately project year end variances, based on the information available at the time of this report.  Therefore, the projections presented in this report have a risk of fluctuation.  The overall potential variance can be broken down as follows:
</t>
    </r>
    <r>
      <rPr>
        <u/>
        <sz val="11"/>
        <rFont val="Times New Roman"/>
        <family val="1"/>
      </rPr>
      <t>Global Spectrum-Managed Operations: ($135,000)</t>
    </r>
    <r>
      <rPr>
        <sz val="11"/>
        <rFont val="Times New Roman"/>
        <family val="1"/>
      </rPr>
      <t xml:space="preserve">
Global Spectrum is projecting an operating budget deficit within the WFCU Centre financials of ($135,000).  Global Spectrum removed several events from the 2014 year-end projection as they were either moved to 2015 or were not able to secure what they had anticipated for events in 2014.  
</t>
    </r>
    <r>
      <rPr>
        <u/>
        <sz val="11"/>
        <rFont val="Times New Roman"/>
        <family val="1"/>
      </rPr>
      <t xml:space="preserve">
</t>
    </r>
    <r>
      <rPr>
        <sz val="11"/>
        <rFont val="Times New Roman"/>
        <family val="1"/>
      </rPr>
      <t xml:space="preserve">
</t>
    </r>
  </si>
  <si>
    <r>
      <rPr>
        <u/>
        <sz val="11"/>
        <rFont val="Times New Roman"/>
        <family val="1"/>
      </rPr>
      <t>WFCU Centre: ($150,000)</t>
    </r>
    <r>
      <rPr>
        <sz val="11"/>
        <rFont val="Times New Roman"/>
        <family val="1"/>
      </rPr>
      <t xml:space="preserve">
The WFCU Centre is projecting a deficit of ($150,000) mainly due to revenue shortfalls in concessions, programming and ticket surcharges.  The Spitfire attendance figures have been lower than in previous years along with less playoff games, which have resulted in lower revenue from ticket surcharges and concessions.  </t>
    </r>
  </si>
  <si>
    <t xml:space="preserve">Recreation and Culture in 2014 is closely monitoring the monthly financial statements for a variety of facilities.  Some specific mitigating measures include:
-Marketing plan for the WIATC/AB has been approved and is being implemented
-Energy audit &amp; hydro cost optimization at the WIATC/AB
-Refine/consolidate program delivery to achieve synergies aimed at cost reductions at WIATC/AB based on attendance levels and daily/hourly attendance patterns experienced to date
-Reduce 3 temporary lifeguards put in place due to TSSA requirements
- Undergo an audit with the Life Saving Society regarding lifeguard positions/rotations to determine if staff level can be further reduced
-Adjust concession price to reflect market/industry rates
-Optimize concession and facility attendant staffing schedules to reflect attendance demand
-A working group committee has been established to regularly monitor and make recommendations on all aspects of the operations 
-Operating review of the WFCU Centre is currently being undertaken by the newly appointed facility manager.  It is expected that recommendations will be made that will improve efficiencies and reduce operating costs.
</t>
  </si>
  <si>
    <t xml:space="preserve">As part of the reported ($510,000) variance for Recreation and Culture, wages make up approximately ($250,000) of the projected facility variance.  This is as a result of increasing staffing levels from the originally budgeted 27 lifeguards to 32 based on actual experience with the new facility and equipment.  These 5 additional lifeguards were added to improve safety as per established guidelines from the Life Saving Society and TSSA and to allow for proper operational logistics.  An additional 3 temporary lifeguards have been required due to a TSSA requirement for coverage until an electronic solution was implemented.  The addition of a coordination position was also required in order to better manage the significant number of lifeguards.   Furthermore, once the facility opened it became apparent that in order to provide better service and safety, an additional facility attendant position was required on the second floor to oversee the Cannon Cove playing area and fitness centre.  The costs for these additional positions have been partially offset by gapping in a couple non-union salary accounts.
</t>
  </si>
  <si>
    <t>It should be highlighted that there are significant economic benefits that continue to be realized from this facility. These include:
• The creation of a popular family attraction for Windsor residents
• Avoided the economic drain of significant share of the 200,000 annual visitors spending their discretionary income at similar facilities across the border or around the province
• Has put Windsor on the map for aquatics sports tourism and drawn visitors from across the world
• The creation of approximately 260 part time and full time net jobs to operate the facility
• Has added to the revitalization of the downtown
• Has helped to diversify the economy and positively impacted the hospitality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</si>
</sst>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0&quot;??_);_(@_)"/>
    <numFmt numFmtId="166" formatCode="0.0%"/>
    <numFmt numFmtId="167" formatCode="_(&quot;$&quot;* #,##0_);_(&quot;$&quot;* \(#,##0\);_(&quot;$&quot;* &quot;-&quot;??_);_(@_)"/>
  </numFmts>
  <fonts count="28" x14ac:knownFonts="1">
    <font>
      <sz val="10"/>
      <name val="Arial"/>
    </font>
    <font>
      <b/>
      <sz val="12"/>
      <color indexed="9"/>
      <name val="Times New Roman"/>
      <family val="1"/>
    </font>
    <font>
      <sz val="10"/>
      <name val="Times New Roman"/>
      <family val="1"/>
    </font>
    <font>
      <sz val="10"/>
      <name val="Arial"/>
      <family val="2"/>
    </font>
    <font>
      <b/>
      <u/>
      <sz val="11"/>
      <name val="Times New Roman"/>
      <family val="1"/>
    </font>
    <font>
      <b/>
      <u/>
      <sz val="10"/>
      <name val="Times New Roman"/>
      <family val="1"/>
    </font>
    <font>
      <sz val="9"/>
      <name val="Times New Roman"/>
      <family val="1"/>
    </font>
    <font>
      <b/>
      <sz val="10"/>
      <name val="Times New Roman"/>
      <family val="1"/>
    </font>
    <font>
      <b/>
      <sz val="10"/>
      <color indexed="9"/>
      <name val="Times New Roman"/>
      <family val="1"/>
    </font>
    <font>
      <sz val="11"/>
      <name val="Times New Roman"/>
      <family val="1"/>
    </font>
    <font>
      <sz val="11"/>
      <color theme="0"/>
      <name val="Times New Roman"/>
      <family val="1"/>
    </font>
    <font>
      <b/>
      <sz val="11"/>
      <name val="Times New Roman"/>
      <family val="1"/>
    </font>
    <font>
      <sz val="12"/>
      <name val="Times New Roman"/>
      <family val="1"/>
    </font>
    <font>
      <sz val="8"/>
      <color indexed="81"/>
      <name val="Tahoma"/>
      <family val="2"/>
    </font>
    <font>
      <sz val="10"/>
      <name val="MS Sans Serif"/>
      <family val="2"/>
    </font>
    <font>
      <b/>
      <sz val="12"/>
      <name val="Times New Roman"/>
      <family val="1"/>
    </font>
    <font>
      <i/>
      <sz val="10"/>
      <name val="Times New Roman"/>
      <family val="1"/>
    </font>
    <font>
      <b/>
      <sz val="8"/>
      <color indexed="81"/>
      <name val="Tahoma"/>
      <family val="2"/>
    </font>
    <font>
      <u/>
      <sz val="11"/>
      <name val="Times New Roman"/>
      <family val="1"/>
    </font>
    <font>
      <sz val="10"/>
      <color rgb="FFFF0000"/>
      <name val="Times New Roman"/>
      <family val="1"/>
    </font>
    <font>
      <u/>
      <sz val="10"/>
      <name val="Times New Roman"/>
      <family val="1"/>
    </font>
    <font>
      <b/>
      <vertAlign val="superscript"/>
      <sz val="10"/>
      <name val="Times New Roman"/>
      <family val="1"/>
    </font>
    <font>
      <i/>
      <sz val="11"/>
      <name val="Times New Roman"/>
      <family val="1"/>
    </font>
    <font>
      <sz val="10"/>
      <color theme="0"/>
      <name val="Times New Roman"/>
      <family val="1"/>
    </font>
    <font>
      <b/>
      <sz val="10"/>
      <color rgb="FFFF0000"/>
      <name val="Times New Roman"/>
      <family val="1"/>
    </font>
    <font>
      <sz val="10"/>
      <color indexed="9"/>
      <name val="Times New Roman"/>
      <family val="1"/>
    </font>
    <font>
      <vertAlign val="superscript"/>
      <sz val="10"/>
      <name val="Times New Roman"/>
      <family val="1"/>
    </font>
    <font>
      <sz val="11"/>
      <color rgb="FFFF0000"/>
      <name val="Times New Roman"/>
      <family val="1"/>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0000"/>
        <bgColor indexed="64"/>
      </patternFill>
    </fill>
    <fill>
      <patternFill patternType="solid">
        <fgColor rgb="FFFFFFFF"/>
        <bgColor indexed="64"/>
      </patternFill>
    </fill>
    <fill>
      <patternFill patternType="solid">
        <fgColor theme="1"/>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medium">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bottom/>
      <diagonal/>
    </border>
    <border>
      <left style="medium">
        <color indexed="64"/>
      </left>
      <right style="thin">
        <color theme="1" tint="0.499984740745262"/>
      </right>
      <top/>
      <bottom/>
      <diagonal/>
    </border>
    <border>
      <left style="thin">
        <color theme="1" tint="0.499984740745262"/>
      </left>
      <right style="thin">
        <color theme="1" tint="0.499984740745262"/>
      </right>
      <top/>
      <bottom/>
      <diagonal/>
    </border>
    <border>
      <left style="medium">
        <color indexed="64"/>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top style="medium">
        <color indexed="64"/>
      </top>
      <bottom/>
      <diagonal/>
    </border>
    <border>
      <left style="thin">
        <color theme="1" tint="0.499984740745262"/>
      </left>
      <right/>
      <top/>
      <bottom/>
      <diagonal/>
    </border>
    <border>
      <left style="medium">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bottom style="thin">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right style="thin">
        <color indexed="64"/>
      </right>
      <top style="thin">
        <color indexed="64"/>
      </top>
      <bottom style="thin">
        <color indexed="64"/>
      </bottom>
      <diagonal/>
    </border>
    <border>
      <left/>
      <right style="thin">
        <color theme="1" tint="0.499984740745262"/>
      </right>
      <top style="medium">
        <color indexed="64"/>
      </top>
      <bottom style="thin">
        <color theme="1" tint="0.499984740745262"/>
      </bottom>
      <diagonal/>
    </border>
    <border>
      <left/>
      <right style="thin">
        <color theme="1" tint="0.499984740745262"/>
      </right>
      <top/>
      <bottom/>
      <diagonal/>
    </border>
    <border>
      <left/>
      <right style="thin">
        <color theme="1" tint="0.499984740745262"/>
      </right>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bottom/>
      <diagonal/>
    </border>
    <border>
      <left style="thin">
        <color theme="1" tint="0.499984740745262"/>
      </left>
      <right/>
      <top style="medium">
        <color indexed="64"/>
      </top>
      <bottom style="thin">
        <color theme="1" tint="0.499984740745262"/>
      </bottom>
      <diagonal/>
    </border>
    <border>
      <left style="thin">
        <color theme="1" tint="0.499984740745262"/>
      </left>
      <right/>
      <top/>
      <bottom style="medium">
        <color indexed="64"/>
      </bottom>
      <diagonal/>
    </border>
  </borders>
  <cellStyleXfs count="2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4" fillId="0" borderId="0" applyNumberFormat="0" applyFont="0" applyFill="0" applyBorder="0" applyAlignment="0" applyProtection="0">
      <alignment horizontal="left"/>
    </xf>
  </cellStyleXfs>
  <cellXfs count="601">
    <xf numFmtId="0" fontId="0" fillId="0" borderId="0" xfId="0"/>
    <xf numFmtId="0" fontId="1" fillId="2" borderId="0" xfId="0" applyFont="1" applyFill="1" applyBorder="1" applyAlignment="1" applyProtection="1">
      <alignment vertical="top"/>
    </xf>
    <xf numFmtId="0" fontId="1" fillId="2" borderId="0" xfId="0" applyFont="1" applyFill="1" applyBorder="1" applyAlignment="1" applyProtection="1">
      <alignment horizontal="left" vertical="top"/>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164" fontId="2" fillId="3" borderId="0" xfId="1" applyNumberFormat="1" applyFont="1" applyFill="1" applyBorder="1" applyAlignment="1" applyProtection="1">
      <alignment horizontal="center" vertical="center" wrapText="1"/>
    </xf>
    <xf numFmtId="0" fontId="4" fillId="3" borderId="0" xfId="0" applyNumberFormat="1" applyFont="1" applyFill="1" applyAlignment="1" applyProtection="1"/>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164" fontId="6" fillId="3" borderId="0" xfId="1" applyNumberFormat="1" applyFont="1" applyFill="1" applyBorder="1" applyAlignment="1" applyProtection="1">
      <alignment horizontal="center" vertical="center" wrapText="1"/>
    </xf>
    <xf numFmtId="164" fontId="2" fillId="3" borderId="0" xfId="1" applyNumberFormat="1" applyFont="1" applyFill="1" applyBorder="1" applyAlignment="1" applyProtection="1">
      <alignment vertical="center" wrapText="1"/>
    </xf>
    <xf numFmtId="6" fontId="8" fillId="3" borderId="0" xfId="0" applyNumberFormat="1" applyFont="1" applyFill="1" applyBorder="1" applyAlignment="1" applyProtection="1">
      <alignment horizontal="center" vertical="center"/>
    </xf>
    <xf numFmtId="0" fontId="2" fillId="3" borderId="0" xfId="0" applyFont="1" applyFill="1" applyProtection="1"/>
    <xf numFmtId="0" fontId="5" fillId="3" borderId="0" xfId="0" applyNumberFormat="1" applyFont="1" applyFill="1" applyBorder="1" applyAlignment="1" applyProtection="1">
      <alignment vertical="top" wrapText="1"/>
    </xf>
    <xf numFmtId="6" fontId="7" fillId="3" borderId="7" xfId="0" applyNumberFormat="1" applyFont="1" applyFill="1" applyBorder="1" applyAlignment="1" applyProtection="1">
      <alignment horizontal="center" vertical="center" wrapText="1"/>
    </xf>
    <xf numFmtId="0" fontId="2" fillId="3" borderId="0" xfId="0" applyFont="1" applyFill="1" applyAlignment="1" applyProtection="1"/>
    <xf numFmtId="0" fontId="2" fillId="3" borderId="8" xfId="0" applyFont="1" applyFill="1" applyBorder="1" applyProtection="1"/>
    <xf numFmtId="0" fontId="2" fillId="3" borderId="9" xfId="0" applyFont="1" applyFill="1" applyBorder="1" applyProtection="1"/>
    <xf numFmtId="164" fontId="2" fillId="3" borderId="10" xfId="0" applyNumberFormat="1" applyFont="1" applyFill="1" applyBorder="1" applyAlignment="1" applyProtection="1">
      <alignment vertical="top"/>
    </xf>
    <xf numFmtId="164" fontId="2" fillId="3" borderId="0" xfId="0" applyNumberFormat="1" applyFont="1" applyFill="1" applyBorder="1" applyAlignment="1" applyProtection="1">
      <alignment vertical="top"/>
    </xf>
    <xf numFmtId="0" fontId="2" fillId="3" borderId="0" xfId="0" applyFont="1" applyFill="1" applyBorder="1" applyAlignment="1" applyProtection="1">
      <alignment horizontal="center"/>
    </xf>
    <xf numFmtId="0" fontId="2" fillId="3" borderId="8" xfId="0" applyNumberFormat="1" applyFont="1" applyFill="1" applyBorder="1" applyAlignment="1" applyProtection="1">
      <alignment vertical="top"/>
    </xf>
    <xf numFmtId="0" fontId="2" fillId="3" borderId="9" xfId="0" applyNumberFormat="1" applyFont="1" applyFill="1" applyBorder="1" applyAlignment="1" applyProtection="1">
      <alignment vertical="top"/>
    </xf>
    <xf numFmtId="0" fontId="2" fillId="3" borderId="0" xfId="0" applyNumberFormat="1" applyFont="1" applyFill="1" applyBorder="1" applyAlignment="1" applyProtection="1">
      <alignment vertical="top"/>
    </xf>
    <xf numFmtId="164" fontId="2" fillId="3" borderId="10" xfId="1" applyNumberFormat="1" applyFont="1" applyFill="1" applyBorder="1" applyAlignment="1" applyProtection="1">
      <alignment horizontal="center"/>
    </xf>
    <xf numFmtId="0" fontId="2" fillId="3" borderId="0" xfId="0" applyNumberFormat="1" applyFont="1" applyFill="1" applyBorder="1" applyAlignment="1" applyProtection="1">
      <alignment horizontal="center" vertical="center"/>
    </xf>
    <xf numFmtId="0" fontId="7" fillId="3" borderId="8" xfId="0" applyNumberFormat="1" applyFont="1" applyFill="1" applyBorder="1" applyAlignment="1" applyProtection="1">
      <alignment vertical="top"/>
    </xf>
    <xf numFmtId="0" fontId="7" fillId="3" borderId="9" xfId="0" applyNumberFormat="1" applyFont="1" applyFill="1" applyBorder="1" applyAlignment="1" applyProtection="1">
      <alignment vertical="top"/>
    </xf>
    <xf numFmtId="0" fontId="7" fillId="3" borderId="0" xfId="0" applyNumberFormat="1" applyFont="1" applyFill="1" applyBorder="1" applyAlignment="1" applyProtection="1">
      <alignment vertical="top"/>
    </xf>
    <xf numFmtId="165" fontId="7" fillId="3" borderId="10" xfId="1" applyNumberFormat="1" applyFont="1" applyFill="1" applyBorder="1" applyAlignment="1" applyProtection="1">
      <alignment horizontal="center"/>
    </xf>
    <xf numFmtId="0" fontId="2" fillId="3" borderId="0" xfId="0" applyNumberFormat="1" applyFont="1" applyFill="1" applyBorder="1" applyAlignment="1" applyProtection="1">
      <alignment horizontal="center" vertical="top" wrapText="1"/>
    </xf>
    <xf numFmtId="0" fontId="7" fillId="3" borderId="0" xfId="0" applyFont="1" applyFill="1" applyProtection="1"/>
    <xf numFmtId="0" fontId="2" fillId="3" borderId="5" xfId="0" applyNumberFormat="1" applyFont="1" applyFill="1" applyBorder="1" applyAlignment="1" applyProtection="1">
      <alignment vertical="top"/>
    </xf>
    <xf numFmtId="0" fontId="2" fillId="3" borderId="6" xfId="0" applyNumberFormat="1" applyFont="1" applyFill="1" applyBorder="1" applyAlignment="1" applyProtection="1">
      <alignment vertical="top"/>
    </xf>
    <xf numFmtId="166" fontId="2" fillId="3" borderId="7" xfId="3" applyNumberFormat="1" applyFont="1" applyFill="1" applyBorder="1" applyAlignment="1" applyProtection="1">
      <alignment horizontal="right"/>
    </xf>
    <xf numFmtId="164" fontId="2" fillId="3" borderId="0" xfId="1" applyNumberFormat="1" applyFont="1" applyFill="1" applyBorder="1" applyAlignment="1" applyProtection="1">
      <alignment horizontal="center"/>
    </xf>
    <xf numFmtId="0" fontId="2" fillId="3" borderId="0" xfId="0" applyFont="1" applyFill="1" applyBorder="1" applyProtection="1"/>
    <xf numFmtId="164" fontId="2" fillId="3" borderId="0" xfId="1" applyNumberFormat="1" applyFont="1" applyFill="1" applyProtection="1"/>
    <xf numFmtId="0" fontId="2" fillId="3" borderId="11" xfId="0" applyFont="1" applyFill="1" applyBorder="1" applyProtection="1"/>
    <xf numFmtId="0" fontId="9" fillId="3" borderId="0" xfId="0" applyFont="1" applyFill="1" applyBorder="1" applyAlignment="1" applyProtection="1">
      <alignment vertical="top"/>
    </xf>
    <xf numFmtId="164" fontId="9" fillId="3" borderId="0" xfId="1" applyNumberFormat="1" applyFont="1" applyFill="1" applyProtection="1"/>
    <xf numFmtId="0" fontId="9" fillId="3" borderId="0" xfId="0" applyFont="1" applyFill="1" applyProtection="1"/>
    <xf numFmtId="0" fontId="9" fillId="3" borderId="0" xfId="0" applyNumberFormat="1" applyFont="1" applyFill="1" applyAlignment="1" applyProtection="1">
      <alignment horizontal="left" vertical="top"/>
    </xf>
    <xf numFmtId="0" fontId="9" fillId="3" borderId="0" xfId="0" applyFont="1" applyFill="1" applyAlignment="1" applyProtection="1"/>
    <xf numFmtId="0" fontId="9" fillId="3" borderId="11" xfId="0" applyNumberFormat="1" applyFont="1" applyFill="1" applyBorder="1" applyAlignment="1" applyProtection="1"/>
    <xf numFmtId="164" fontId="10" fillId="4" borderId="11" xfId="1" applyNumberFormat="1" applyFont="1" applyFill="1" applyBorder="1" applyProtection="1"/>
    <xf numFmtId="0" fontId="10" fillId="3" borderId="11" xfId="0" applyFont="1" applyFill="1" applyBorder="1" applyProtection="1"/>
    <xf numFmtId="0" fontId="10" fillId="3" borderId="11" xfId="0" applyNumberFormat="1" applyFont="1" applyFill="1" applyBorder="1" applyAlignment="1" applyProtection="1">
      <alignment horizontal="left" vertical="top"/>
    </xf>
    <xf numFmtId="0" fontId="4" fillId="3" borderId="0" xfId="0" applyNumberFormat="1" applyFont="1" applyFill="1" applyBorder="1" applyAlignment="1" applyProtection="1"/>
    <xf numFmtId="0" fontId="10" fillId="4" borderId="0" xfId="0" applyNumberFormat="1" applyFont="1" applyFill="1" applyAlignment="1" applyProtection="1">
      <alignment horizontal="left" vertical="top"/>
    </xf>
    <xf numFmtId="0" fontId="10" fillId="4" borderId="0" xfId="0" applyNumberFormat="1" applyFont="1" applyFill="1" applyAlignment="1" applyProtection="1">
      <alignment horizontal="center" vertical="top"/>
    </xf>
    <xf numFmtId="0" fontId="10" fillId="3" borderId="0" xfId="0" applyNumberFormat="1" applyFont="1" applyFill="1" applyAlignment="1" applyProtection="1">
      <alignment horizontal="left" vertical="top"/>
    </xf>
    <xf numFmtId="0" fontId="9" fillId="3" borderId="0" xfId="0" applyNumberFormat="1" applyFont="1" applyFill="1" applyBorder="1" applyAlignment="1" applyProtection="1">
      <alignment horizontal="left" vertical="top"/>
    </xf>
    <xf numFmtId="0" fontId="11" fillId="4" borderId="0" xfId="0" applyNumberFormat="1" applyFont="1" applyFill="1" applyAlignment="1" applyProtection="1">
      <alignment horizontal="left" vertical="top"/>
    </xf>
    <xf numFmtId="0" fontId="11" fillId="3" borderId="0" xfId="0" applyNumberFormat="1" applyFont="1" applyFill="1" applyAlignment="1" applyProtection="1">
      <alignment horizontal="center" vertical="top"/>
    </xf>
    <xf numFmtId="49" fontId="9" fillId="3" borderId="0" xfId="0" applyNumberFormat="1" applyFont="1" applyFill="1" applyProtection="1"/>
    <xf numFmtId="0" fontId="9" fillId="3" borderId="0" xfId="0" applyNumberFormat="1" applyFont="1" applyFill="1" applyBorder="1" applyAlignment="1" applyProtection="1">
      <alignment vertical="top"/>
    </xf>
    <xf numFmtId="0" fontId="9" fillId="4" borderId="0" xfId="0" applyFont="1" applyFill="1" applyAlignment="1" applyProtection="1"/>
    <xf numFmtId="167" fontId="9" fillId="3" borderId="0" xfId="2" applyNumberFormat="1" applyFont="1" applyFill="1" applyBorder="1" applyProtection="1"/>
    <xf numFmtId="164" fontId="9" fillId="3" borderId="0" xfId="1" applyNumberFormat="1" applyFont="1" applyFill="1" applyBorder="1" applyProtection="1"/>
    <xf numFmtId="0" fontId="9" fillId="3" borderId="0" xfId="0" applyFont="1" applyFill="1" applyBorder="1" applyAlignment="1" applyProtection="1"/>
    <xf numFmtId="0" fontId="11" fillId="3" borderId="0" xfId="0" applyNumberFormat="1" applyFont="1" applyFill="1" applyBorder="1" applyAlignment="1" applyProtection="1">
      <alignment vertical="top"/>
    </xf>
    <xf numFmtId="0" fontId="9" fillId="3" borderId="0" xfId="0" applyFont="1" applyFill="1" applyBorder="1" applyProtection="1"/>
    <xf numFmtId="0" fontId="10" fillId="3" borderId="0" xfId="0" applyFont="1" applyFill="1" applyBorder="1" applyProtection="1"/>
    <xf numFmtId="167" fontId="11" fillId="3" borderId="12" xfId="2" applyNumberFormat="1" applyFont="1" applyFill="1" applyBorder="1" applyProtection="1"/>
    <xf numFmtId="0" fontId="9" fillId="3" borderId="11" xfId="0" applyFont="1" applyFill="1" applyBorder="1" applyAlignment="1" applyProtection="1"/>
    <xf numFmtId="0" fontId="9" fillId="3" borderId="11" xfId="0" applyNumberFormat="1" applyFont="1" applyFill="1" applyBorder="1" applyAlignment="1" applyProtection="1">
      <alignment horizontal="left" vertical="top" wrapText="1"/>
    </xf>
    <xf numFmtId="0" fontId="10" fillId="3" borderId="11" xfId="0" applyNumberFormat="1" applyFont="1" applyFill="1" applyBorder="1" applyAlignment="1" applyProtection="1">
      <alignment horizontal="left" vertical="top" wrapText="1"/>
    </xf>
    <xf numFmtId="0" fontId="9" fillId="3" borderId="0" xfId="0" applyNumberFormat="1" applyFont="1" applyFill="1" applyBorder="1" applyAlignment="1" applyProtection="1"/>
    <xf numFmtId="164" fontId="10" fillId="3" borderId="0" xfId="1" applyNumberFormat="1" applyFont="1" applyFill="1" applyBorder="1" applyProtection="1"/>
    <xf numFmtId="0" fontId="4" fillId="3" borderId="0" xfId="0" applyNumberFormat="1" applyFont="1" applyFill="1" applyAlignment="1" applyProtection="1">
      <alignment horizontal="left" vertical="top" wrapText="1"/>
    </xf>
    <xf numFmtId="0" fontId="12" fillId="3" borderId="0" xfId="0" applyFont="1" applyFill="1" applyProtection="1"/>
    <xf numFmtId="164" fontId="12" fillId="3" borderId="0" xfId="1" applyNumberFormat="1" applyFont="1" applyFill="1" applyProtection="1"/>
    <xf numFmtId="164" fontId="2" fillId="3" borderId="4" xfId="0" applyNumberFormat="1" applyFont="1" applyFill="1" applyBorder="1" applyAlignment="1" applyProtection="1">
      <alignment vertical="top"/>
    </xf>
    <xf numFmtId="164" fontId="2" fillId="3" borderId="7" xfId="0" applyNumberFormat="1" applyFont="1" applyFill="1" applyBorder="1" applyAlignment="1" applyProtection="1">
      <alignment vertical="top"/>
    </xf>
    <xf numFmtId="0" fontId="9" fillId="3" borderId="0" xfId="0" applyNumberFormat="1" applyFont="1" applyFill="1" applyAlignment="1" applyProtection="1">
      <alignment vertical="top" wrapText="1"/>
    </xf>
    <xf numFmtId="0" fontId="9" fillId="3" borderId="0" xfId="0" applyNumberFormat="1" applyFont="1" applyFill="1" applyAlignment="1" applyProtection="1">
      <alignment horizontal="left" vertical="top" wrapText="1"/>
    </xf>
    <xf numFmtId="0" fontId="9" fillId="3" borderId="13" xfId="0" applyFont="1" applyFill="1" applyBorder="1" applyAlignment="1" applyProtection="1"/>
    <xf numFmtId="0" fontId="9" fillId="3" borderId="13" xfId="0" applyNumberFormat="1" applyFont="1" applyFill="1" applyBorder="1" applyAlignment="1" applyProtection="1">
      <alignment horizontal="left" vertical="top" wrapText="1"/>
    </xf>
    <xf numFmtId="0" fontId="10" fillId="3" borderId="13" xfId="0" applyNumberFormat="1" applyFont="1" applyFill="1" applyBorder="1" applyAlignment="1" applyProtection="1">
      <alignment horizontal="left" vertical="top" wrapText="1"/>
    </xf>
    <xf numFmtId="0" fontId="10" fillId="3" borderId="13" xfId="0" applyNumberFormat="1" applyFont="1" applyFill="1" applyBorder="1" applyAlignment="1" applyProtection="1">
      <alignment horizontal="left" vertical="top"/>
    </xf>
    <xf numFmtId="0" fontId="7" fillId="3" borderId="4" xfId="0" applyFont="1" applyFill="1" applyBorder="1" applyAlignment="1" applyProtection="1">
      <alignment horizontal="center" vertical="center" wrapText="1"/>
    </xf>
    <xf numFmtId="0" fontId="7" fillId="3" borderId="11" xfId="0" applyNumberFormat="1" applyFont="1" applyFill="1" applyBorder="1" applyAlignment="1" applyProtection="1">
      <alignment vertical="top"/>
    </xf>
    <xf numFmtId="0" fontId="2" fillId="4" borderId="0" xfId="0" applyFont="1" applyFill="1"/>
    <xf numFmtId="0" fontId="2" fillId="4" borderId="9" xfId="0" applyFont="1" applyFill="1" applyBorder="1"/>
    <xf numFmtId="0" fontId="2" fillId="4" borderId="6" xfId="0" applyFont="1" applyFill="1" applyBorder="1"/>
    <xf numFmtId="0" fontId="2" fillId="4" borderId="3" xfId="0" applyFont="1" applyFill="1" applyBorder="1" applyAlignment="1">
      <alignment horizontal="left"/>
    </xf>
    <xf numFmtId="0" fontId="2" fillId="4" borderId="8" xfId="0" applyFont="1" applyFill="1" applyBorder="1" applyAlignment="1">
      <alignment horizontal="left"/>
    </xf>
    <xf numFmtId="0" fontId="2" fillId="4" borderId="5" xfId="0" applyFont="1" applyFill="1" applyBorder="1" applyAlignment="1">
      <alignment horizontal="left"/>
    </xf>
    <xf numFmtId="0" fontId="9" fillId="3" borderId="0" xfId="0" applyNumberFormat="1" applyFont="1" applyFill="1" applyAlignment="1" applyProtection="1">
      <alignment horizontal="left" vertical="top" wrapText="1"/>
    </xf>
    <xf numFmtId="0" fontId="15" fillId="3" borderId="0" xfId="0" applyFont="1" applyFill="1" applyAlignment="1"/>
    <xf numFmtId="0" fontId="7" fillId="3" borderId="0" xfId="0" applyFont="1" applyFill="1" applyAlignment="1">
      <alignment horizontal="left"/>
    </xf>
    <xf numFmtId="0" fontId="7" fillId="3" borderId="0" xfId="0" applyFont="1" applyFill="1" applyAlignment="1"/>
    <xf numFmtId="0" fontId="7" fillId="3" borderId="0" xfId="0" applyFont="1" applyFill="1" applyAlignment="1">
      <alignment horizontal="center"/>
    </xf>
    <xf numFmtId="0" fontId="2" fillId="3" borderId="0" xfId="0" applyFont="1" applyFill="1" applyAlignment="1">
      <alignment horizontal="center"/>
    </xf>
    <xf numFmtId="0" fontId="2" fillId="3" borderId="0" xfId="0" applyFont="1" applyFill="1"/>
    <xf numFmtId="14" fontId="2" fillId="3" borderId="0" xfId="0" applyNumberFormat="1" applyFont="1" applyFill="1" applyAlignment="1">
      <alignment horizontal="center"/>
    </xf>
    <xf numFmtId="164" fontId="2" fillId="3" borderId="0" xfId="1" applyNumberFormat="1" applyFont="1" applyFill="1"/>
    <xf numFmtId="0" fontId="5" fillId="3" borderId="17" xfId="0" applyFont="1" applyFill="1" applyBorder="1"/>
    <xf numFmtId="0" fontId="2" fillId="3" borderId="0" xfId="0" applyFont="1" applyFill="1" applyBorder="1"/>
    <xf numFmtId="0" fontId="2" fillId="3" borderId="29" xfId="0" applyFont="1" applyFill="1" applyBorder="1" applyAlignment="1">
      <alignment horizontal="center"/>
    </xf>
    <xf numFmtId="0" fontId="2" fillId="3" borderId="17" xfId="0" applyFont="1" applyFill="1" applyBorder="1"/>
    <xf numFmtId="0" fontId="2" fillId="3" borderId="10" xfId="0" applyFont="1" applyFill="1" applyBorder="1"/>
    <xf numFmtId="0" fontId="2" fillId="3" borderId="8" xfId="0" applyFont="1" applyFill="1" applyBorder="1"/>
    <xf numFmtId="0" fontId="2" fillId="3" borderId="20" xfId="0" applyFont="1" applyFill="1" applyBorder="1"/>
    <xf numFmtId="0" fontId="2" fillId="3" borderId="22" xfId="0" applyFont="1" applyFill="1" applyBorder="1"/>
    <xf numFmtId="0" fontId="2" fillId="3" borderId="18" xfId="0" applyFont="1" applyFill="1" applyBorder="1"/>
    <xf numFmtId="164" fontId="7" fillId="3" borderId="0" xfId="1" applyNumberFormat="1" applyFont="1" applyFill="1" applyAlignment="1">
      <alignment horizontal="center"/>
    </xf>
    <xf numFmtId="165" fontId="2" fillId="3" borderId="17" xfId="1" applyNumberFormat="1" applyFont="1" applyFill="1" applyBorder="1"/>
    <xf numFmtId="165" fontId="2" fillId="3" borderId="10" xfId="1" applyNumberFormat="1" applyFont="1" applyFill="1" applyBorder="1"/>
    <xf numFmtId="165" fontId="2" fillId="3" borderId="8" xfId="1" applyNumberFormat="1" applyFont="1" applyFill="1" applyBorder="1"/>
    <xf numFmtId="166" fontId="2" fillId="3" borderId="20" xfId="3" applyNumberFormat="1" applyFont="1" applyFill="1" applyBorder="1" applyAlignment="1">
      <alignment horizontal="center"/>
    </xf>
    <xf numFmtId="165" fontId="2" fillId="3" borderId="22" xfId="1" applyNumberFormat="1" applyFont="1" applyFill="1" applyBorder="1"/>
    <xf numFmtId="14" fontId="2" fillId="3" borderId="0" xfId="3" applyNumberFormat="1" applyFont="1" applyFill="1" applyBorder="1" applyAlignment="1">
      <alignment horizontal="center"/>
    </xf>
    <xf numFmtId="165" fontId="2" fillId="3" borderId="0" xfId="0" applyNumberFormat="1" applyFont="1" applyFill="1"/>
    <xf numFmtId="0" fontId="2" fillId="4" borderId="0" xfId="0" applyFont="1" applyFill="1" applyBorder="1"/>
    <xf numFmtId="0" fontId="7" fillId="3" borderId="17" xfId="0" applyFont="1" applyFill="1" applyBorder="1"/>
    <xf numFmtId="0" fontId="7" fillId="4" borderId="0" xfId="0" applyFont="1" applyFill="1" applyBorder="1"/>
    <xf numFmtId="0" fontId="7" fillId="3" borderId="29" xfId="0" applyFont="1" applyFill="1" applyBorder="1" applyAlignment="1">
      <alignment horizontal="center"/>
    </xf>
    <xf numFmtId="165" fontId="7" fillId="3" borderId="17" xfId="1" applyNumberFormat="1" applyFont="1" applyFill="1" applyBorder="1"/>
    <xf numFmtId="165" fontId="7" fillId="3" borderId="10" xfId="1" applyNumberFormat="1" applyFont="1" applyFill="1" applyBorder="1"/>
    <xf numFmtId="165" fontId="7" fillId="3" borderId="8" xfId="1" applyNumberFormat="1" applyFont="1" applyFill="1" applyBorder="1"/>
    <xf numFmtId="166" fontId="7" fillId="3" borderId="20" xfId="3" applyNumberFormat="1" applyFont="1" applyFill="1" applyBorder="1" applyAlignment="1">
      <alignment horizontal="center"/>
    </xf>
    <xf numFmtId="164" fontId="7" fillId="3" borderId="0" xfId="1" applyNumberFormat="1" applyFont="1" applyFill="1"/>
    <xf numFmtId="165" fontId="7" fillId="3" borderId="22" xfId="1" applyNumberFormat="1" applyFont="1" applyFill="1" applyBorder="1"/>
    <xf numFmtId="0" fontId="7" fillId="3" borderId="0" xfId="0" applyFont="1" applyFill="1"/>
    <xf numFmtId="14" fontId="7" fillId="3" borderId="0" xfId="3" applyNumberFormat="1" applyFont="1" applyFill="1" applyBorder="1" applyAlignment="1">
      <alignment horizontal="center"/>
    </xf>
    <xf numFmtId="165" fontId="2" fillId="3" borderId="20" xfId="1" applyNumberFormat="1" applyFont="1" applyFill="1" applyBorder="1" applyAlignment="1">
      <alignment horizontal="center"/>
    </xf>
    <xf numFmtId="14" fontId="2" fillId="3" borderId="0" xfId="1" applyNumberFormat="1" applyFont="1" applyFill="1" applyBorder="1" applyAlignment="1">
      <alignment horizontal="center"/>
    </xf>
    <xf numFmtId="0" fontId="2" fillId="5" borderId="17" xfId="0" applyFont="1" applyFill="1" applyBorder="1"/>
    <xf numFmtId="164" fontId="2" fillId="5" borderId="0" xfId="1" applyNumberFormat="1" applyFont="1" applyFill="1"/>
    <xf numFmtId="0" fontId="2" fillId="5" borderId="0" xfId="0" applyFont="1" applyFill="1"/>
    <xf numFmtId="165" fontId="2" fillId="3" borderId="10" xfId="1" applyNumberFormat="1" applyFont="1" applyFill="1" applyBorder="1" applyAlignment="1" applyProtection="1">
      <alignment horizontal="center"/>
    </xf>
    <xf numFmtId="165" fontId="7" fillId="0" borderId="10" xfId="1" applyNumberFormat="1" applyFont="1" applyFill="1" applyBorder="1"/>
    <xf numFmtId="165" fontId="2" fillId="0" borderId="10" xfId="1" applyNumberFormat="1" applyFont="1" applyFill="1" applyBorder="1"/>
    <xf numFmtId="164" fontId="2" fillId="3" borderId="17" xfId="1" applyNumberFormat="1" applyFont="1" applyFill="1" applyBorder="1"/>
    <xf numFmtId="164" fontId="2" fillId="3" borderId="10" xfId="1" applyNumberFormat="1" applyFont="1" applyFill="1" applyBorder="1"/>
    <xf numFmtId="164" fontId="2" fillId="3" borderId="20" xfId="1" applyNumberFormat="1" applyFont="1" applyFill="1" applyBorder="1"/>
    <xf numFmtId="14" fontId="2" fillId="3" borderId="0" xfId="3" applyNumberFormat="1" applyFont="1" applyFill="1" applyBorder="1" applyAlignment="1">
      <alignment horizontal="left"/>
    </xf>
    <xf numFmtId="165" fontId="7" fillId="3" borderId="7" xfId="1" applyNumberFormat="1" applyFont="1" applyFill="1" applyBorder="1"/>
    <xf numFmtId="165" fontId="7" fillId="3" borderId="20" xfId="1" applyNumberFormat="1" applyFont="1" applyFill="1" applyBorder="1" applyAlignment="1">
      <alignment horizontal="center"/>
    </xf>
    <xf numFmtId="0" fontId="7" fillId="3" borderId="30" xfId="0" applyFont="1" applyFill="1" applyBorder="1"/>
    <xf numFmtId="0" fontId="7" fillId="4" borderId="2" xfId="0" applyFont="1" applyFill="1" applyBorder="1"/>
    <xf numFmtId="0" fontId="7" fillId="3" borderId="31" xfId="0" applyFont="1" applyFill="1" applyBorder="1" applyAlignment="1">
      <alignment horizontal="center"/>
    </xf>
    <xf numFmtId="165" fontId="7" fillId="3" borderId="30" xfId="1" applyNumberFormat="1" applyFont="1" applyFill="1" applyBorder="1"/>
    <xf numFmtId="165" fontId="7" fillId="3" borderId="32" xfId="1" applyNumberFormat="1" applyFont="1" applyFill="1" applyBorder="1"/>
    <xf numFmtId="165" fontId="7" fillId="3" borderId="1" xfId="1" applyNumberFormat="1" applyFont="1" applyFill="1" applyBorder="1"/>
    <xf numFmtId="166" fontId="7" fillId="3" borderId="33" xfId="3" applyNumberFormat="1" applyFont="1" applyFill="1" applyBorder="1" applyAlignment="1">
      <alignment horizontal="center"/>
    </xf>
    <xf numFmtId="165" fontId="7" fillId="3" borderId="34" xfId="1" applyNumberFormat="1" applyFont="1" applyFill="1" applyBorder="1"/>
    <xf numFmtId="165" fontId="7" fillId="0" borderId="32" xfId="1" applyNumberFormat="1" applyFont="1" applyFill="1" applyBorder="1"/>
    <xf numFmtId="0" fontId="7" fillId="3" borderId="2" xfId="0" applyFont="1" applyFill="1" applyBorder="1"/>
    <xf numFmtId="0" fontId="2" fillId="3" borderId="35" xfId="0" applyFont="1" applyFill="1" applyBorder="1" applyAlignment="1">
      <alignment horizontal="center"/>
    </xf>
    <xf numFmtId="164" fontId="7" fillId="3" borderId="0" xfId="0" applyNumberFormat="1" applyFont="1" applyFill="1"/>
    <xf numFmtId="164" fontId="2" fillId="3" borderId="0" xfId="0" applyNumberFormat="1" applyFont="1" applyFill="1"/>
    <xf numFmtId="165" fontId="7" fillId="3" borderId="0" xfId="1" applyNumberFormat="1" applyFont="1" applyFill="1" applyBorder="1"/>
    <xf numFmtId="0" fontId="7" fillId="3" borderId="20" xfId="0" applyFont="1" applyFill="1" applyBorder="1" applyAlignment="1">
      <alignment horizontal="center"/>
    </xf>
    <xf numFmtId="0" fontId="7" fillId="4" borderId="17" xfId="0" applyFont="1" applyFill="1" applyBorder="1"/>
    <xf numFmtId="0" fontId="2" fillId="3" borderId="24" xfId="0" applyFont="1" applyFill="1" applyBorder="1"/>
    <xf numFmtId="0" fontId="2" fillId="3" borderId="13" xfId="0" applyFont="1" applyFill="1" applyBorder="1"/>
    <xf numFmtId="0" fontId="2" fillId="3" borderId="27" xfId="0" applyFont="1" applyFill="1" applyBorder="1" applyAlignment="1">
      <alignment horizontal="center"/>
    </xf>
    <xf numFmtId="164" fontId="2" fillId="3" borderId="24" xfId="1" applyNumberFormat="1" applyFont="1" applyFill="1" applyBorder="1"/>
    <xf numFmtId="164" fontId="2" fillId="3" borderId="13" xfId="1" applyNumberFormat="1" applyFont="1" applyFill="1" applyBorder="1"/>
    <xf numFmtId="164" fontId="2" fillId="3" borderId="41" xfId="1" applyNumberFormat="1" applyFont="1" applyFill="1" applyBorder="1"/>
    <xf numFmtId="164" fontId="2" fillId="3" borderId="27" xfId="1" applyNumberFormat="1" applyFont="1" applyFill="1" applyBorder="1"/>
    <xf numFmtId="164" fontId="2" fillId="3" borderId="42" xfId="1" applyNumberFormat="1" applyFont="1" applyFill="1" applyBorder="1"/>
    <xf numFmtId="0" fontId="2" fillId="3" borderId="0" xfId="0" applyFont="1" applyFill="1" applyBorder="1" applyAlignment="1">
      <alignment horizontal="center"/>
    </xf>
    <xf numFmtId="164" fontId="2" fillId="3" borderId="0" xfId="1" applyNumberFormat="1" applyFont="1" applyFill="1" applyBorder="1"/>
    <xf numFmtId="167" fontId="2" fillId="3" borderId="0" xfId="0" applyNumberFormat="1" applyFont="1" applyFill="1" applyAlignment="1">
      <alignment wrapText="1"/>
    </xf>
    <xf numFmtId="165" fontId="2" fillId="3" borderId="0" xfId="0" applyNumberFormat="1" applyFont="1" applyFill="1" applyBorder="1"/>
    <xf numFmtId="0" fontId="2" fillId="3" borderId="0" xfId="0" applyFont="1" applyFill="1" applyBorder="1" applyAlignment="1">
      <alignment horizontal="left"/>
    </xf>
    <xf numFmtId="0" fontId="9" fillId="4" borderId="0" xfId="0" applyFont="1" applyFill="1" applyAlignment="1" applyProtection="1">
      <alignment horizontal="left"/>
    </xf>
    <xf numFmtId="0" fontId="9" fillId="3" borderId="0" xfId="0" applyNumberFormat="1" applyFont="1" applyFill="1" applyAlignment="1" applyProtection="1">
      <alignment horizontal="left" vertical="top" wrapText="1"/>
    </xf>
    <xf numFmtId="49" fontId="9" fillId="3" borderId="0" xfId="0" applyNumberFormat="1" applyFont="1" applyFill="1" applyAlignment="1" applyProtection="1">
      <alignment vertical="top"/>
    </xf>
    <xf numFmtId="37" fontId="9" fillId="3" borderId="0" xfId="0" applyNumberFormat="1" applyFont="1" applyFill="1" applyProtection="1"/>
    <xf numFmtId="0" fontId="0" fillId="0" borderId="0" xfId="0" applyNumberFormat="1" applyAlignment="1"/>
    <xf numFmtId="0" fontId="9" fillId="3" borderId="0" xfId="0" applyNumberFormat="1" applyFont="1" applyFill="1" applyAlignment="1" applyProtection="1">
      <alignment vertical="top" wrapText="1"/>
    </xf>
    <xf numFmtId="0" fontId="10" fillId="3" borderId="0" xfId="0" applyNumberFormat="1" applyFont="1" applyFill="1" applyBorder="1" applyAlignment="1" applyProtection="1">
      <alignment horizontal="left" vertical="top"/>
    </xf>
    <xf numFmtId="0" fontId="2" fillId="3" borderId="0" xfId="0" applyFont="1" applyFill="1" applyBorder="1" applyAlignment="1" applyProtection="1"/>
    <xf numFmtId="164" fontId="2" fillId="3" borderId="0" xfId="1" applyNumberFormat="1" applyFont="1" applyFill="1" applyBorder="1" applyProtection="1"/>
    <xf numFmtId="0" fontId="10" fillId="3" borderId="0" xfId="0" applyNumberFormat="1" applyFont="1" applyFill="1" applyBorder="1" applyAlignment="1" applyProtection="1">
      <alignment horizontal="left" vertical="top" wrapText="1"/>
    </xf>
    <xf numFmtId="49" fontId="9" fillId="3" borderId="0" xfId="11" applyNumberFormat="1" applyFont="1" applyFill="1" applyAlignment="1" applyProtection="1">
      <alignment horizontal="right"/>
    </xf>
    <xf numFmtId="0" fontId="9" fillId="3" borderId="0" xfId="11" applyFont="1" applyFill="1" applyProtection="1"/>
    <xf numFmtId="0" fontId="9" fillId="3" borderId="0" xfId="11" applyNumberFormat="1" applyFont="1" applyFill="1" applyAlignment="1" applyProtection="1">
      <alignment horizontal="left" vertical="top"/>
    </xf>
    <xf numFmtId="164" fontId="9" fillId="3" borderId="11" xfId="1" applyNumberFormat="1" applyFont="1" applyFill="1" applyBorder="1" applyProtection="1"/>
    <xf numFmtId="0" fontId="4" fillId="3" borderId="0" xfId="0" applyNumberFormat="1" applyFont="1" applyFill="1" applyBorder="1" applyAlignment="1" applyProtection="1">
      <alignment horizontal="left" vertical="top"/>
    </xf>
    <xf numFmtId="0" fontId="18" fillId="3" borderId="0" xfId="0" applyNumberFormat="1" applyFont="1" applyFill="1" applyAlignment="1" applyProtection="1"/>
    <xf numFmtId="0" fontId="9" fillId="3" borderId="0" xfId="0" applyNumberFormat="1" applyFont="1" applyFill="1" applyBorder="1" applyAlignment="1" applyProtection="1">
      <alignment horizontal="left" vertical="top" wrapText="1"/>
    </xf>
    <xf numFmtId="0" fontId="9" fillId="3" borderId="11" xfId="0" applyNumberFormat="1" applyFont="1" applyFill="1" applyBorder="1" applyAlignment="1" applyProtection="1">
      <alignment horizontal="left" vertical="top" wrapText="1"/>
    </xf>
    <xf numFmtId="0" fontId="9" fillId="4" borderId="0" xfId="0" applyFont="1" applyFill="1" applyAlignment="1" applyProtection="1">
      <alignment horizontal="left"/>
    </xf>
    <xf numFmtId="0" fontId="9" fillId="3" borderId="0" xfId="0" applyNumberFormat="1" applyFont="1" applyFill="1" applyBorder="1" applyAlignment="1" applyProtection="1">
      <alignment horizontal="left" vertical="top" wrapText="1"/>
    </xf>
    <xf numFmtId="0" fontId="18" fillId="3" borderId="0" xfId="0" applyNumberFormat="1" applyFont="1" applyFill="1" applyBorder="1" applyAlignment="1" applyProtection="1">
      <alignment horizontal="left" vertical="top"/>
    </xf>
    <xf numFmtId="0" fontId="2" fillId="4" borderId="11" xfId="0" applyFont="1" applyFill="1" applyBorder="1"/>
    <xf numFmtId="0" fontId="9" fillId="3" borderId="11" xfId="0" applyFont="1" applyFill="1" applyBorder="1" applyProtection="1"/>
    <xf numFmtId="0" fontId="9" fillId="3" borderId="11" xfId="0" applyNumberFormat="1" applyFont="1" applyFill="1" applyBorder="1" applyAlignment="1" applyProtection="1">
      <alignment horizontal="left" vertical="top"/>
    </xf>
    <xf numFmtId="49" fontId="9" fillId="3" borderId="11" xfId="0" applyNumberFormat="1" applyFont="1" applyFill="1" applyBorder="1" applyProtection="1"/>
    <xf numFmtId="0" fontId="9" fillId="3" borderId="11" xfId="0" applyNumberFormat="1" applyFont="1" applyFill="1" applyBorder="1" applyAlignment="1" applyProtection="1">
      <alignment vertical="top"/>
    </xf>
    <xf numFmtId="0" fontId="9" fillId="4" borderId="11" xfId="0" applyFont="1" applyFill="1" applyBorder="1" applyAlignment="1" applyProtection="1"/>
    <xf numFmtId="0" fontId="9" fillId="4" borderId="11" xfId="0" applyFont="1" applyFill="1" applyBorder="1" applyAlignment="1" applyProtection="1">
      <alignment horizontal="left"/>
    </xf>
    <xf numFmtId="0" fontId="4" fillId="3" borderId="11" xfId="0" applyNumberFormat="1" applyFont="1" applyFill="1" applyBorder="1" applyAlignment="1" applyProtection="1"/>
    <xf numFmtId="0" fontId="9" fillId="3" borderId="0" xfId="0" applyNumberFormat="1" applyFont="1" applyFill="1" applyBorder="1" applyAlignment="1" applyProtection="1">
      <alignment horizontal="left" vertical="top" wrapText="1"/>
    </xf>
    <xf numFmtId="0" fontId="9" fillId="3" borderId="11" xfId="0" applyNumberFormat="1" applyFont="1" applyFill="1" applyBorder="1" applyAlignment="1" applyProtection="1">
      <alignment horizontal="left" vertical="top" wrapText="1"/>
    </xf>
    <xf numFmtId="0" fontId="9" fillId="4" borderId="0" xfId="0" applyNumberFormat="1" applyFont="1" applyFill="1" applyAlignment="1" applyProtection="1">
      <alignment vertical="top"/>
    </xf>
    <xf numFmtId="0" fontId="4" fillId="3" borderId="0" xfId="0" applyNumberFormat="1" applyFont="1" applyFill="1" applyBorder="1" applyAlignment="1" applyProtection="1">
      <alignment horizontal="left" vertical="top" wrapText="1"/>
    </xf>
    <xf numFmtId="164" fontId="10" fillId="4" borderId="0" xfId="1" applyNumberFormat="1" applyFont="1" applyFill="1" applyBorder="1" applyProtection="1"/>
    <xf numFmtId="49" fontId="2" fillId="3" borderId="0" xfId="0" applyNumberFormat="1" applyFont="1" applyFill="1" applyProtection="1"/>
    <xf numFmtId="167" fontId="11" fillId="3" borderId="12" xfId="2" applyNumberFormat="1" applyFont="1" applyFill="1" applyBorder="1" applyAlignment="1" applyProtection="1">
      <alignment horizontal="right"/>
    </xf>
    <xf numFmtId="0" fontId="9" fillId="3" borderId="0" xfId="0" applyNumberFormat="1" applyFont="1" applyFill="1" applyBorder="1" applyAlignment="1" applyProtection="1">
      <alignment horizontal="left" vertical="top" wrapText="1"/>
    </xf>
    <xf numFmtId="10" fontId="2" fillId="3" borderId="0" xfId="3" applyNumberFormat="1" applyFont="1" applyFill="1" applyBorder="1" applyAlignment="1">
      <alignment horizontal="left"/>
    </xf>
    <xf numFmtId="0" fontId="9" fillId="3" borderId="0" xfId="0" applyNumberFormat="1" applyFont="1" applyFill="1" applyAlignment="1" applyProtection="1">
      <alignment vertical="top" wrapText="1"/>
    </xf>
    <xf numFmtId="0" fontId="16" fillId="3" borderId="0" xfId="0" applyFont="1" applyFill="1" applyAlignment="1">
      <alignment horizontal="left" wrapText="1"/>
    </xf>
    <xf numFmtId="0" fontId="19" fillId="4" borderId="0" xfId="0" applyFont="1" applyFill="1"/>
    <xf numFmtId="0" fontId="20" fillId="3" borderId="0" xfId="0" applyFont="1" applyFill="1" applyBorder="1" applyAlignment="1">
      <alignment horizontal="right"/>
    </xf>
    <xf numFmtId="0" fontId="19" fillId="3" borderId="0" xfId="0" applyFont="1" applyFill="1"/>
    <xf numFmtId="0" fontId="9" fillId="3" borderId="0" xfId="11" applyNumberFormat="1" applyFont="1" applyFill="1" applyAlignment="1" applyProtection="1">
      <alignment horizontal="left" vertical="top"/>
      <protection locked="0"/>
    </xf>
    <xf numFmtId="165" fontId="2" fillId="0" borderId="17" xfId="1" applyNumberFormat="1" applyFont="1" applyFill="1" applyBorder="1"/>
    <xf numFmtId="165" fontId="7" fillId="0" borderId="17" xfId="1" applyNumberFormat="1" applyFont="1" applyFill="1" applyBorder="1"/>
    <xf numFmtId="0" fontId="2" fillId="0" borderId="17" xfId="0" applyFont="1" applyFill="1" applyBorder="1"/>
    <xf numFmtId="0" fontId="2" fillId="0" borderId="10" xfId="0" applyFont="1" applyFill="1" applyBorder="1"/>
    <xf numFmtId="165" fontId="7" fillId="0" borderId="30" xfId="1" applyNumberFormat="1" applyFont="1" applyFill="1" applyBorder="1"/>
    <xf numFmtId="167" fontId="9" fillId="3" borderId="0" xfId="2" applyNumberFormat="1" applyFont="1" applyFill="1" applyBorder="1" applyProtection="1">
      <protection locked="0"/>
    </xf>
    <xf numFmtId="164" fontId="9" fillId="3" borderId="0" xfId="1" applyNumberFormat="1" applyFont="1" applyFill="1" applyBorder="1" applyProtection="1">
      <protection locked="0"/>
    </xf>
    <xf numFmtId="164" fontId="2" fillId="3" borderId="10" xfId="0" applyNumberFormat="1" applyFont="1" applyFill="1" applyBorder="1" applyAlignment="1" applyProtection="1">
      <alignment vertical="top"/>
      <protection locked="0"/>
    </xf>
    <xf numFmtId="164" fontId="2" fillId="3" borderId="7" xfId="0" applyNumberFormat="1" applyFont="1" applyFill="1" applyBorder="1" applyAlignment="1" applyProtection="1">
      <alignment vertical="top"/>
      <protection locked="0"/>
    </xf>
    <xf numFmtId="0" fontId="2" fillId="6" borderId="17" xfId="0" applyFont="1" applyFill="1" applyBorder="1"/>
    <xf numFmtId="0" fontId="2" fillId="6" borderId="0" xfId="0" applyFont="1" applyFill="1" applyBorder="1"/>
    <xf numFmtId="0" fontId="2" fillId="6" borderId="29" xfId="0" applyFont="1" applyFill="1" applyBorder="1" applyAlignment="1">
      <alignment horizontal="center"/>
    </xf>
    <xf numFmtId="164" fontId="2" fillId="6" borderId="0" xfId="1" applyNumberFormat="1" applyFont="1" applyFill="1"/>
    <xf numFmtId="165" fontId="2" fillId="6" borderId="17" xfId="1" applyNumberFormat="1" applyFont="1" applyFill="1" applyBorder="1"/>
    <xf numFmtId="165" fontId="2" fillId="6" borderId="10" xfId="1" applyNumberFormat="1" applyFont="1" applyFill="1" applyBorder="1"/>
    <xf numFmtId="165" fontId="2" fillId="6" borderId="8" xfId="1" applyNumberFormat="1" applyFont="1" applyFill="1" applyBorder="1"/>
    <xf numFmtId="166" fontId="2" fillId="6" borderId="20" xfId="3" applyNumberFormat="1" applyFont="1" applyFill="1" applyBorder="1" applyAlignment="1">
      <alignment horizontal="center"/>
    </xf>
    <xf numFmtId="165" fontId="2" fillId="6" borderId="22" xfId="1" applyNumberFormat="1" applyFont="1" applyFill="1" applyBorder="1"/>
    <xf numFmtId="165" fontId="7" fillId="6" borderId="17" xfId="1" applyNumberFormat="1" applyFont="1" applyFill="1" applyBorder="1"/>
    <xf numFmtId="165" fontId="7" fillId="6" borderId="0" xfId="1" applyNumberFormat="1" applyFont="1" applyFill="1" applyBorder="1"/>
    <xf numFmtId="166" fontId="7" fillId="6" borderId="20" xfId="3" applyNumberFormat="1" applyFont="1" applyFill="1" applyBorder="1" applyAlignment="1">
      <alignment horizontal="center"/>
    </xf>
    <xf numFmtId="164" fontId="7" fillId="6" borderId="0" xfId="1" applyNumberFormat="1" applyFont="1" applyFill="1"/>
    <xf numFmtId="0" fontId="7" fillId="6" borderId="0" xfId="0" applyFont="1" applyFill="1"/>
    <xf numFmtId="0" fontId="7" fillId="6" borderId="17" xfId="0" applyFont="1" applyFill="1" applyBorder="1"/>
    <xf numFmtId="0" fontId="7" fillId="6" borderId="0" xfId="0" applyFont="1" applyFill="1" applyBorder="1"/>
    <xf numFmtId="0" fontId="7" fillId="6" borderId="20" xfId="0" applyFont="1" applyFill="1" applyBorder="1" applyAlignment="1">
      <alignment horizontal="center"/>
    </xf>
    <xf numFmtId="165" fontId="7" fillId="6" borderId="22" xfId="1" applyNumberFormat="1" applyFont="1" applyFill="1" applyBorder="1"/>
    <xf numFmtId="165" fontId="7" fillId="6" borderId="10" xfId="1" applyNumberFormat="1" applyFont="1" applyFill="1" applyBorder="1"/>
    <xf numFmtId="10" fontId="7" fillId="6" borderId="20" xfId="3" applyNumberFormat="1" applyFont="1" applyFill="1" applyBorder="1" applyAlignment="1">
      <alignment horizontal="center"/>
    </xf>
    <xf numFmtId="9" fontId="2" fillId="6" borderId="20" xfId="3" applyFont="1" applyFill="1" applyBorder="1" applyAlignment="1">
      <alignment horizontal="center"/>
    </xf>
    <xf numFmtId="0" fontId="7" fillId="6" borderId="36" xfId="0" applyFont="1" applyFill="1" applyBorder="1"/>
    <xf numFmtId="0" fontId="7" fillId="6" borderId="12" xfId="0" applyFont="1" applyFill="1" applyBorder="1"/>
    <xf numFmtId="0" fontId="7" fillId="6" borderId="37" xfId="0" applyFont="1" applyFill="1" applyBorder="1" applyAlignment="1">
      <alignment horizontal="center"/>
    </xf>
    <xf numFmtId="165" fontId="7" fillId="6" borderId="39" xfId="1" applyNumberFormat="1" applyFont="1" applyFill="1" applyBorder="1"/>
    <xf numFmtId="165" fontId="7" fillId="6" borderId="38" xfId="1" applyNumberFormat="1" applyFont="1" applyFill="1" applyBorder="1"/>
    <xf numFmtId="165" fontId="2" fillId="0" borderId="7" xfId="1" applyNumberFormat="1" applyFont="1" applyFill="1" applyBorder="1"/>
    <xf numFmtId="0" fontId="2" fillId="6" borderId="0" xfId="0" applyFont="1" applyFill="1"/>
    <xf numFmtId="0" fontId="9" fillId="3" borderId="0" xfId="0" applyNumberFormat="1" applyFont="1" applyFill="1" applyAlignment="1" applyProtection="1">
      <alignment horizontal="left" vertical="top" wrapText="1"/>
    </xf>
    <xf numFmtId="0" fontId="9" fillId="3" borderId="0" xfId="11" applyNumberFormat="1" applyFont="1" applyFill="1" applyAlignment="1" applyProtection="1">
      <alignment vertical="top" wrapText="1"/>
    </xf>
    <xf numFmtId="0" fontId="9" fillId="3" borderId="0" xfId="0" applyNumberFormat="1" applyFont="1" applyFill="1" applyAlignment="1" applyProtection="1">
      <alignment horizontal="left" vertical="top"/>
      <protection locked="0"/>
    </xf>
    <xf numFmtId="0" fontId="9" fillId="3" borderId="0" xfId="0" applyNumberFormat="1" applyFont="1" applyFill="1" applyAlignment="1" applyProtection="1">
      <alignment horizontal="left" vertical="top"/>
    </xf>
    <xf numFmtId="0" fontId="9" fillId="3" borderId="13" xfId="0" applyNumberFormat="1" applyFont="1" applyFill="1" applyBorder="1" applyAlignment="1" applyProtection="1">
      <alignment vertical="top" wrapText="1"/>
    </xf>
    <xf numFmtId="164" fontId="2" fillId="0" borderId="10" xfId="0" applyNumberFormat="1" applyFont="1" applyFill="1" applyBorder="1" applyAlignment="1" applyProtection="1">
      <alignment vertical="top"/>
    </xf>
    <xf numFmtId="164" fontId="2" fillId="0" borderId="10" xfId="1" applyNumberFormat="1" applyFont="1" applyFill="1" applyBorder="1" applyAlignment="1" applyProtection="1">
      <alignment horizontal="center"/>
    </xf>
    <xf numFmtId="0" fontId="2" fillId="0" borderId="0" xfId="0" applyFont="1" applyAlignment="1">
      <alignment vertical="top" wrapText="1"/>
    </xf>
    <xf numFmtId="49" fontId="9" fillId="3" borderId="0" xfId="0" applyNumberFormat="1" applyFont="1" applyFill="1" applyBorder="1" applyAlignment="1" applyProtection="1">
      <alignment horizontal="left" vertical="top"/>
    </xf>
    <xf numFmtId="0" fontId="9" fillId="3" borderId="0" xfId="0" applyNumberFormat="1" applyFont="1" applyFill="1" applyBorder="1" applyAlignment="1" applyProtection="1">
      <alignment vertical="top"/>
      <protection locked="0"/>
    </xf>
    <xf numFmtId="0" fontId="9" fillId="4" borderId="0" xfId="0" applyFont="1" applyFill="1" applyAlignment="1" applyProtection="1">
      <protection locked="0"/>
    </xf>
    <xf numFmtId="49" fontId="9" fillId="3" borderId="0" xfId="0" applyNumberFormat="1" applyFont="1" applyFill="1" applyProtection="1">
      <protection locked="0"/>
    </xf>
    <xf numFmtId="49" fontId="9" fillId="3" borderId="0" xfId="0" applyNumberFormat="1" applyFont="1" applyFill="1" applyBorder="1" applyAlignment="1" applyProtection="1">
      <alignment horizontal="left" vertical="top"/>
      <protection locked="0"/>
    </xf>
    <xf numFmtId="0" fontId="9" fillId="3" borderId="0" xfId="0" applyFont="1" applyFill="1" applyProtection="1">
      <protection locked="0"/>
    </xf>
    <xf numFmtId="0" fontId="11" fillId="4"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49" fontId="9" fillId="3" borderId="0" xfId="0" applyNumberFormat="1" applyFont="1" applyFill="1" applyAlignment="1" applyProtection="1">
      <alignment vertical="top"/>
      <protection locked="0"/>
    </xf>
    <xf numFmtId="0" fontId="9" fillId="4" borderId="0" xfId="0" applyFont="1" applyFill="1" applyAlignment="1" applyProtection="1">
      <alignment horizontal="left" vertical="top"/>
      <protection locked="0"/>
    </xf>
    <xf numFmtId="167" fontId="9" fillId="3" borderId="0" xfId="2" applyNumberFormat="1" applyFont="1" applyFill="1" applyBorder="1" applyAlignment="1" applyProtection="1">
      <alignment vertical="top"/>
      <protection locked="0"/>
    </xf>
    <xf numFmtId="164" fontId="9" fillId="3" borderId="0" xfId="1" applyNumberFormat="1" applyFont="1" applyFill="1" applyBorder="1" applyAlignment="1" applyProtection="1">
      <alignment vertical="top"/>
      <protection locked="0"/>
    </xf>
    <xf numFmtId="0" fontId="9" fillId="3" borderId="0" xfId="11" applyFont="1" applyFill="1" applyProtection="1">
      <protection locked="0"/>
    </xf>
    <xf numFmtId="167" fontId="9" fillId="3" borderId="0" xfId="2" applyNumberFormat="1" applyFont="1" applyFill="1" applyProtection="1">
      <protection locked="0"/>
    </xf>
    <xf numFmtId="164" fontId="9" fillId="3" borderId="0" xfId="1" applyNumberFormat="1" applyFont="1" applyFill="1" applyProtection="1">
      <protection locked="0"/>
    </xf>
    <xf numFmtId="0" fontId="9" fillId="4" borderId="0" xfId="11" applyFont="1" applyFill="1" applyBorder="1" applyAlignment="1" applyProtection="1">
      <alignment horizontal="left"/>
      <protection locked="0"/>
    </xf>
    <xf numFmtId="5" fontId="9" fillId="3" borderId="0" xfId="1" applyNumberFormat="1" applyFont="1" applyFill="1" applyAlignment="1" applyProtection="1">
      <alignment horizontal="right" vertical="top"/>
      <protection locked="0"/>
    </xf>
    <xf numFmtId="0" fontId="9" fillId="3" borderId="0" xfId="14" applyNumberFormat="1" applyFont="1" applyFill="1" applyBorder="1" applyAlignment="1" applyProtection="1">
      <alignment vertical="top"/>
      <protection locked="0"/>
    </xf>
    <xf numFmtId="0" fontId="10" fillId="3" borderId="0" xfId="0" applyNumberFormat="1" applyFont="1" applyFill="1" applyAlignment="1" applyProtection="1">
      <alignment horizontal="left" vertical="top"/>
      <protection locked="0"/>
    </xf>
    <xf numFmtId="167" fontId="9" fillId="3" borderId="0" xfId="2" applyNumberFormat="1" applyFont="1" applyFill="1" applyAlignment="1" applyProtection="1">
      <alignment horizontal="right" vertical="top"/>
      <protection locked="0"/>
    </xf>
    <xf numFmtId="37" fontId="9" fillId="3" borderId="0" xfId="2" applyNumberFormat="1" applyFont="1" applyFill="1" applyAlignment="1" applyProtection="1">
      <alignment horizontal="right" vertical="top"/>
      <protection locked="0"/>
    </xf>
    <xf numFmtId="0" fontId="9" fillId="3" borderId="0" xfId="0" applyFont="1" applyFill="1" applyAlignment="1" applyProtection="1">
      <alignment vertical="top"/>
      <protection locked="0"/>
    </xf>
    <xf numFmtId="0" fontId="9" fillId="0" borderId="0" xfId="0" applyFont="1" applyProtection="1">
      <protection locked="0"/>
    </xf>
    <xf numFmtId="167" fontId="9" fillId="3" borderId="0" xfId="2" applyNumberFormat="1" applyFont="1" applyFill="1" applyAlignment="1" applyProtection="1">
      <alignment horizontal="right"/>
      <protection locked="0"/>
    </xf>
    <xf numFmtId="37" fontId="9" fillId="3" borderId="0" xfId="1" applyNumberFormat="1" applyFont="1" applyFill="1" applyBorder="1" applyAlignment="1" applyProtection="1">
      <alignment horizontal="right" vertical="top"/>
      <protection locked="0"/>
    </xf>
    <xf numFmtId="37" fontId="9" fillId="3" borderId="0" xfId="1" applyNumberFormat="1" applyFont="1" applyFill="1" applyBorder="1" applyAlignment="1" applyProtection="1">
      <alignment horizontal="right"/>
      <protection locked="0"/>
    </xf>
    <xf numFmtId="0" fontId="9" fillId="4" borderId="0" xfId="0" applyNumberFormat="1" applyFont="1" applyFill="1" applyBorder="1" applyAlignment="1" applyProtection="1">
      <alignment vertical="top"/>
      <protection locked="0"/>
    </xf>
    <xf numFmtId="164" fontId="9" fillId="4" borderId="0" xfId="1" applyNumberFormat="1" applyFont="1" applyFill="1" applyBorder="1" applyProtection="1">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4" borderId="0" xfId="11" applyFont="1" applyFill="1" applyBorder="1" applyAlignment="1" applyProtection="1">
      <protection locked="0"/>
    </xf>
    <xf numFmtId="0" fontId="9" fillId="3" borderId="0" xfId="0" applyFont="1" applyFill="1" applyBorder="1" applyProtection="1">
      <protection locked="0"/>
    </xf>
    <xf numFmtId="0" fontId="9" fillId="3" borderId="0" xfId="0" applyNumberFormat="1" applyFont="1" applyFill="1" applyBorder="1" applyAlignment="1" applyProtection="1">
      <alignment horizontal="left" vertical="top"/>
      <protection locked="0"/>
    </xf>
    <xf numFmtId="0" fontId="10" fillId="3" borderId="0" xfId="0" applyFont="1" applyFill="1" applyBorder="1" applyProtection="1">
      <protection locked="0"/>
    </xf>
    <xf numFmtId="167" fontId="11" fillId="3" borderId="12" xfId="2" applyNumberFormat="1" applyFont="1" applyFill="1" applyBorder="1" applyProtection="1">
      <protection locked="0"/>
    </xf>
    <xf numFmtId="49" fontId="9" fillId="3" borderId="0" xfId="0" applyNumberFormat="1"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3" borderId="0" xfId="13" applyNumberFormat="1" applyFont="1" applyFill="1" applyBorder="1" applyAlignment="1" applyProtection="1">
      <alignment horizontal="left" vertical="top"/>
      <protection locked="0"/>
    </xf>
    <xf numFmtId="0" fontId="9" fillId="4" borderId="0" xfId="0" applyFont="1" applyFill="1" applyBorder="1" applyAlignment="1" applyProtection="1">
      <alignment horizontal="left"/>
      <protection locked="0"/>
    </xf>
    <xf numFmtId="167" fontId="9" fillId="4" borderId="0" xfId="2" applyNumberFormat="1" applyFont="1" applyFill="1" applyBorder="1" applyAlignment="1" applyProtection="1">
      <protection locked="0"/>
    </xf>
    <xf numFmtId="164" fontId="9" fillId="4" borderId="0" xfId="1" applyNumberFormat="1" applyFont="1" applyFill="1" applyBorder="1" applyAlignment="1" applyProtection="1">
      <protection locked="0"/>
    </xf>
    <xf numFmtId="164" fontId="9" fillId="4" borderId="11" xfId="1" applyNumberFormat="1" applyFont="1" applyFill="1" applyBorder="1" applyAlignment="1" applyProtection="1">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3" borderId="0" xfId="0" applyNumberFormat="1" applyFont="1" applyFill="1" applyBorder="1" applyAlignment="1" applyProtection="1">
      <alignment vertical="center"/>
      <protection locked="0"/>
    </xf>
    <xf numFmtId="0" fontId="18" fillId="3" borderId="0" xfId="0" applyNumberFormat="1" applyFont="1" applyFill="1" applyBorder="1" applyAlignment="1" applyProtection="1">
      <alignment vertical="center"/>
      <protection locked="0"/>
    </xf>
    <xf numFmtId="49" fontId="9" fillId="3" borderId="0" xfId="0" applyNumberFormat="1" applyFont="1" applyFill="1" applyAlignment="1" applyProtection="1">
      <alignment vertical="center"/>
    </xf>
    <xf numFmtId="0" fontId="9" fillId="3" borderId="0" xfId="0" applyNumberFormat="1" applyFont="1" applyFill="1" applyAlignment="1" applyProtection="1">
      <alignment horizontal="left" vertical="center"/>
      <protection locked="0"/>
    </xf>
    <xf numFmtId="0" fontId="9" fillId="4" borderId="0" xfId="0" applyFont="1" applyFill="1" applyAlignment="1" applyProtection="1">
      <alignment vertical="center"/>
      <protection locked="0"/>
    </xf>
    <xf numFmtId="167" fontId="9" fillId="3" borderId="0" xfId="2" applyNumberFormat="1" applyFont="1" applyFill="1" applyBorder="1" applyAlignment="1" applyProtection="1">
      <alignment vertical="center"/>
      <protection locked="0"/>
    </xf>
    <xf numFmtId="164" fontId="9" fillId="3" borderId="0" xfId="1" applyNumberFormat="1" applyFont="1" applyFill="1" applyBorder="1" applyAlignment="1" applyProtection="1">
      <alignment vertical="center"/>
      <protection locked="0"/>
    </xf>
    <xf numFmtId="0" fontId="9" fillId="4" borderId="0" xfId="0" applyFont="1" applyFill="1" applyAlignment="1" applyProtection="1">
      <alignment horizontal="left" vertical="center"/>
      <protection locked="0"/>
    </xf>
    <xf numFmtId="0" fontId="9" fillId="3" borderId="11" xfId="0" applyNumberFormat="1" applyFont="1" applyFill="1" applyBorder="1" applyAlignment="1" applyProtection="1">
      <alignment horizontal="justify"/>
    </xf>
    <xf numFmtId="164" fontId="10" fillId="4" borderId="11" xfId="1" applyNumberFormat="1" applyFont="1" applyFill="1" applyBorder="1" applyAlignment="1" applyProtection="1">
      <alignment horizontal="justify"/>
    </xf>
    <xf numFmtId="0" fontId="10" fillId="3" borderId="11" xfId="0" applyFont="1" applyFill="1" applyBorder="1" applyAlignment="1" applyProtection="1">
      <alignment horizontal="justify"/>
    </xf>
    <xf numFmtId="0" fontId="10" fillId="3" borderId="11" xfId="0" applyNumberFormat="1" applyFont="1" applyFill="1" applyBorder="1" applyAlignment="1" applyProtection="1">
      <alignment horizontal="justify" vertical="top"/>
    </xf>
    <xf numFmtId="0" fontId="9" fillId="3" borderId="0" xfId="0" applyFont="1" applyFill="1" applyAlignment="1" applyProtection="1">
      <alignment horizontal="justify"/>
    </xf>
    <xf numFmtId="0" fontId="9" fillId="3" borderId="0" xfId="0" applyNumberFormat="1" applyFont="1" applyFill="1" applyAlignment="1" applyProtection="1">
      <alignment horizontal="justify" vertical="top"/>
    </xf>
    <xf numFmtId="0" fontId="10" fillId="4" borderId="0" xfId="0" applyNumberFormat="1" applyFont="1" applyFill="1" applyAlignment="1" applyProtection="1">
      <alignment horizontal="justify" vertical="top"/>
    </xf>
    <xf numFmtId="0" fontId="10" fillId="3" borderId="0" xfId="0" applyNumberFormat="1" applyFont="1" applyFill="1" applyAlignment="1" applyProtection="1">
      <alignment horizontal="justify" vertical="top"/>
    </xf>
    <xf numFmtId="0" fontId="9" fillId="3" borderId="0" xfId="0" applyNumberFormat="1" applyFont="1" applyFill="1" applyBorder="1" applyAlignment="1" applyProtection="1">
      <alignment horizontal="justify" vertical="top"/>
    </xf>
    <xf numFmtId="0" fontId="11" fillId="4" borderId="0" xfId="0" applyNumberFormat="1" applyFont="1" applyFill="1" applyAlignment="1" applyProtection="1">
      <alignment horizontal="justify" vertical="top"/>
    </xf>
    <xf numFmtId="0" fontId="11" fillId="3" borderId="0" xfId="0" applyNumberFormat="1" applyFont="1" applyFill="1" applyAlignment="1" applyProtection="1">
      <alignment horizontal="justify" vertical="top"/>
    </xf>
    <xf numFmtId="0" fontId="10" fillId="4" borderId="0" xfId="0" applyFont="1" applyFill="1" applyAlignment="1" applyProtection="1">
      <alignment horizontal="left"/>
    </xf>
    <xf numFmtId="0" fontId="10" fillId="3" borderId="0" xfId="0" applyFont="1" applyFill="1" applyProtection="1"/>
    <xf numFmtId="0" fontId="4" fillId="3" borderId="0" xfId="0" applyNumberFormat="1" applyFont="1" applyFill="1" applyBorder="1" applyAlignment="1" applyProtection="1">
      <alignment horizontal="left" readingOrder="1"/>
    </xf>
    <xf numFmtId="0" fontId="9" fillId="3" borderId="0" xfId="0" applyNumberFormat="1" applyFont="1" applyFill="1" applyBorder="1" applyAlignment="1" applyProtection="1">
      <alignment horizontal="left" vertical="center"/>
      <protection locked="0"/>
    </xf>
    <xf numFmtId="0" fontId="9" fillId="3" borderId="0" xfId="0" applyFont="1" applyFill="1" applyAlignment="1" applyProtection="1">
      <alignment horizontal="left" vertical="center"/>
    </xf>
    <xf numFmtId="49" fontId="9" fillId="3" borderId="0" xfId="0" applyNumberFormat="1" applyFont="1" applyFill="1" applyAlignment="1" applyProtection="1">
      <alignment horizontal="left" vertical="center"/>
    </xf>
    <xf numFmtId="167" fontId="9" fillId="3" borderId="0" xfId="2" applyNumberFormat="1" applyFont="1" applyFill="1" applyBorder="1" applyAlignment="1" applyProtection="1">
      <alignment horizontal="left" vertical="center"/>
      <protection locked="0"/>
    </xf>
    <xf numFmtId="164" fontId="9" fillId="3" borderId="0" xfId="1" applyNumberFormat="1" applyFont="1" applyFill="1" applyAlignment="1" applyProtection="1">
      <alignment horizontal="left" vertical="center"/>
    </xf>
    <xf numFmtId="0" fontId="9" fillId="0" borderId="0" xfId="0" applyFont="1" applyAlignment="1" applyProtection="1">
      <alignment vertical="center"/>
      <protection locked="0"/>
    </xf>
    <xf numFmtId="37" fontId="9" fillId="3" borderId="11" xfId="2" applyNumberFormat="1" applyFont="1" applyFill="1" applyBorder="1" applyAlignment="1" applyProtection="1">
      <alignment horizontal="right" vertical="top"/>
      <protection locked="0"/>
    </xf>
    <xf numFmtId="49" fontId="2" fillId="4" borderId="0" xfId="0" applyNumberFormat="1" applyFont="1" applyFill="1"/>
    <xf numFmtId="0" fontId="9" fillId="4" borderId="13" xfId="0" applyFont="1" applyFill="1" applyBorder="1" applyAlignment="1" applyProtection="1">
      <alignment horizontal="justify" vertical="top" wrapText="1"/>
      <protection locked="0"/>
    </xf>
    <xf numFmtId="0" fontId="2" fillId="4" borderId="13" xfId="0" applyFont="1" applyFill="1" applyBorder="1"/>
    <xf numFmtId="0" fontId="10" fillId="3" borderId="0" xfId="0" applyFont="1" applyFill="1" applyAlignment="1" applyProtection="1"/>
    <xf numFmtId="164" fontId="10" fillId="3" borderId="0" xfId="1" applyNumberFormat="1" applyFont="1" applyFill="1" applyProtection="1"/>
    <xf numFmtId="0" fontId="23" fillId="3" borderId="0" xfId="0" applyFont="1" applyFill="1" applyAlignment="1" applyProtection="1"/>
    <xf numFmtId="0" fontId="23" fillId="3" borderId="0" xfId="0" applyFont="1" applyFill="1" applyProtection="1"/>
    <xf numFmtId="164" fontId="23" fillId="3" borderId="0" xfId="1" applyNumberFormat="1" applyFont="1" applyFill="1" applyProtection="1"/>
    <xf numFmtId="0" fontId="23" fillId="4" borderId="0" xfId="0" applyFont="1" applyFill="1"/>
    <xf numFmtId="165" fontId="7" fillId="6" borderId="37" xfId="3" applyNumberFormat="1" applyFont="1" applyFill="1" applyBorder="1" applyAlignment="1">
      <alignment horizontal="center"/>
    </xf>
    <xf numFmtId="165" fontId="7" fillId="6" borderId="40" xfId="1" applyNumberFormat="1" applyFont="1" applyFill="1" applyBorder="1" applyAlignment="1">
      <alignment vertical="top" wrapText="1"/>
    </xf>
    <xf numFmtId="165" fontId="7" fillId="6" borderId="7" xfId="1" applyNumberFormat="1" applyFont="1" applyFill="1" applyBorder="1" applyAlignment="1">
      <alignment vertical="top" wrapText="1"/>
    </xf>
    <xf numFmtId="10" fontId="7" fillId="6" borderId="43" xfId="3" applyNumberFormat="1" applyFont="1" applyFill="1" applyBorder="1" applyAlignment="1">
      <alignment horizontal="center" vertical="top" wrapText="1"/>
    </xf>
    <xf numFmtId="0" fontId="7" fillId="3" borderId="0" xfId="0" applyFont="1" applyFill="1" applyBorder="1" applyAlignment="1">
      <alignment horizontal="center"/>
    </xf>
    <xf numFmtId="166" fontId="7" fillId="3" borderId="0" xfId="3" applyNumberFormat="1" applyFont="1" applyFill="1" applyBorder="1" applyAlignment="1">
      <alignment horizontal="center"/>
    </xf>
    <xf numFmtId="164" fontId="7" fillId="3" borderId="0" xfId="1" applyNumberFormat="1" applyFont="1" applyFill="1" applyBorder="1"/>
    <xf numFmtId="0" fontId="7" fillId="3" borderId="0" xfId="0" applyFont="1" applyFill="1" applyBorder="1"/>
    <xf numFmtId="0" fontId="2" fillId="3" borderId="20" xfId="0" applyFont="1" applyFill="1" applyBorder="1" applyAlignment="1">
      <alignment horizontal="center"/>
    </xf>
    <xf numFmtId="9" fontId="2" fillId="3" borderId="20" xfId="3" applyFont="1" applyFill="1" applyBorder="1" applyAlignment="1">
      <alignment horizontal="center"/>
    </xf>
    <xf numFmtId="0" fontId="2" fillId="3" borderId="43" xfId="0" applyFont="1" applyFill="1" applyBorder="1" applyAlignment="1">
      <alignment horizontal="center"/>
    </xf>
    <xf numFmtId="0" fontId="7" fillId="3" borderId="36" xfId="0" applyFont="1" applyFill="1" applyBorder="1"/>
    <xf numFmtId="0" fontId="7" fillId="3" borderId="12" xfId="0" applyFont="1" applyFill="1" applyBorder="1"/>
    <xf numFmtId="0" fontId="7" fillId="3" borderId="37" xfId="0" applyFont="1" applyFill="1" applyBorder="1" applyAlignment="1">
      <alignment horizontal="center"/>
    </xf>
    <xf numFmtId="165" fontId="7" fillId="3" borderId="36" xfId="1" applyNumberFormat="1" applyFont="1" applyFill="1" applyBorder="1"/>
    <xf numFmtId="165" fontId="7" fillId="3" borderId="38" xfId="1" applyNumberFormat="1" applyFont="1" applyFill="1" applyBorder="1"/>
    <xf numFmtId="165" fontId="7" fillId="3" borderId="44" xfId="1" applyNumberFormat="1" applyFont="1" applyFill="1" applyBorder="1"/>
    <xf numFmtId="166" fontId="7" fillId="3" borderId="37" xfId="3" applyNumberFormat="1" applyFont="1" applyFill="1" applyBorder="1" applyAlignment="1">
      <alignment horizontal="center"/>
    </xf>
    <xf numFmtId="165" fontId="7" fillId="3" borderId="39" xfId="1" applyNumberFormat="1" applyFont="1" applyFill="1" applyBorder="1"/>
    <xf numFmtId="167" fontId="7" fillId="3" borderId="38" xfId="2" applyNumberFormat="1" applyFont="1" applyFill="1" applyBorder="1"/>
    <xf numFmtId="166" fontId="7" fillId="3" borderId="45" xfId="3" applyNumberFormat="1" applyFont="1" applyFill="1" applyBorder="1" applyAlignment="1">
      <alignment horizontal="center"/>
    </xf>
    <xf numFmtId="0" fontId="9" fillId="3" borderId="46" xfId="0" applyFont="1" applyFill="1" applyBorder="1" applyAlignment="1" applyProtection="1"/>
    <xf numFmtId="0" fontId="4" fillId="3" borderId="46" xfId="0" applyNumberFormat="1" applyFont="1" applyFill="1" applyBorder="1" applyAlignment="1" applyProtection="1"/>
    <xf numFmtId="0" fontId="9" fillId="3" borderId="46" xfId="0" applyFont="1" applyFill="1" applyBorder="1" applyProtection="1"/>
    <xf numFmtId="0" fontId="9" fillId="3" borderId="46" xfId="0" applyNumberFormat="1" applyFont="1" applyFill="1" applyBorder="1" applyAlignment="1" applyProtection="1">
      <alignment horizontal="left" vertical="top"/>
    </xf>
    <xf numFmtId="0" fontId="11" fillId="4" borderId="46" xfId="0" applyNumberFormat="1" applyFont="1" applyFill="1" applyBorder="1" applyAlignment="1" applyProtection="1">
      <alignment horizontal="left" vertical="top"/>
    </xf>
    <xf numFmtId="0" fontId="22" fillId="3" borderId="0" xfId="0" applyNumberFormat="1" applyFont="1" applyFill="1" applyBorder="1" applyAlignment="1" applyProtection="1">
      <alignment vertical="top"/>
      <protection locked="0"/>
    </xf>
    <xf numFmtId="0" fontId="22" fillId="3" borderId="0" xfId="0" applyNumberFormat="1" applyFont="1" applyFill="1" applyBorder="1" applyAlignment="1" applyProtection="1">
      <alignment vertical="center"/>
      <protection locked="0"/>
    </xf>
    <xf numFmtId="0" fontId="22" fillId="3" borderId="0" xfId="0" applyNumberFormat="1" applyFont="1" applyFill="1" applyAlignment="1" applyProtection="1">
      <protection locked="0"/>
    </xf>
    <xf numFmtId="0" fontId="7" fillId="3" borderId="33" xfId="0" applyFont="1" applyFill="1" applyBorder="1" applyAlignment="1">
      <alignment horizontal="center"/>
    </xf>
    <xf numFmtId="37" fontId="9" fillId="3" borderId="0" xfId="2" applyNumberFormat="1" applyFont="1" applyFill="1" applyBorder="1" applyAlignment="1" applyProtection="1">
      <alignment horizontal="right" vertical="top"/>
      <protection locked="0"/>
    </xf>
    <xf numFmtId="0" fontId="9" fillId="3" borderId="13" xfId="0" applyFont="1" applyFill="1" applyBorder="1" applyProtection="1"/>
    <xf numFmtId="49" fontId="22" fillId="3" borderId="0" xfId="0" applyNumberFormat="1" applyFont="1" applyFill="1" applyAlignment="1" applyProtection="1">
      <alignment horizontal="left" vertical="top"/>
      <protection locked="0"/>
    </xf>
    <xf numFmtId="0" fontId="9" fillId="3" borderId="0" xfId="0" applyNumberFormat="1" applyFont="1" applyFill="1" applyBorder="1" applyAlignment="1" applyProtection="1">
      <alignment horizontal="left" vertical="center" indent="1"/>
      <protection locked="0"/>
    </xf>
    <xf numFmtId="0" fontId="9" fillId="3" borderId="0" xfId="0" applyFont="1" applyFill="1" applyAlignment="1" applyProtection="1">
      <alignment horizontal="left" vertical="top" indent="1"/>
      <protection locked="0"/>
    </xf>
    <xf numFmtId="0" fontId="9" fillId="3" borderId="0" xfId="0" applyNumberFormat="1" applyFont="1" applyFill="1" applyBorder="1" applyAlignment="1" applyProtection="1">
      <alignment horizontal="left" vertical="top" indent="1"/>
      <protection locked="0"/>
    </xf>
    <xf numFmtId="6" fontId="8" fillId="2" borderId="18" xfId="0" applyNumberFormat="1" applyFont="1" applyFill="1" applyBorder="1" applyAlignment="1">
      <alignment horizontal="center" vertical="center" wrapText="1"/>
    </xf>
    <xf numFmtId="165" fontId="7" fillId="3" borderId="0" xfId="0" applyNumberFormat="1" applyFont="1" applyFill="1"/>
    <xf numFmtId="165" fontId="7" fillId="0" borderId="1" xfId="1" applyNumberFormat="1" applyFont="1" applyFill="1" applyBorder="1"/>
    <xf numFmtId="6" fontId="8" fillId="2" borderId="48" xfId="0" applyNumberFormat="1" applyFont="1" applyFill="1" applyBorder="1" applyAlignment="1">
      <alignment horizontal="center" vertical="center" wrapText="1"/>
    </xf>
    <xf numFmtId="165" fontId="2" fillId="0" borderId="47" xfId="1" applyNumberFormat="1" applyFont="1" applyFill="1" applyBorder="1"/>
    <xf numFmtId="165" fontId="2" fillId="3" borderId="47" xfId="1" applyNumberFormat="1" applyFont="1" applyFill="1" applyBorder="1"/>
    <xf numFmtId="166" fontId="2" fillId="3" borderId="47" xfId="3" applyNumberFormat="1" applyFont="1" applyFill="1" applyBorder="1" applyAlignment="1">
      <alignment horizontal="center"/>
    </xf>
    <xf numFmtId="165" fontId="7" fillId="0" borderId="47" xfId="1" applyNumberFormat="1" applyFont="1" applyFill="1" applyBorder="1"/>
    <xf numFmtId="166" fontId="7" fillId="3" borderId="47" xfId="3" applyNumberFormat="1" applyFont="1" applyFill="1" applyBorder="1" applyAlignment="1">
      <alignment horizontal="center"/>
    </xf>
    <xf numFmtId="165" fontId="2" fillId="3" borderId="47" xfId="1" applyNumberFormat="1" applyFont="1" applyFill="1" applyBorder="1" applyAlignment="1">
      <alignment horizontal="center"/>
    </xf>
    <xf numFmtId="165" fontId="7" fillId="3" borderId="47" xfId="1" applyNumberFormat="1" applyFont="1" applyFill="1" applyBorder="1"/>
    <xf numFmtId="9" fontId="2" fillId="3" borderId="47" xfId="3" applyFont="1" applyFill="1" applyBorder="1" applyAlignment="1">
      <alignment horizontal="center"/>
    </xf>
    <xf numFmtId="0" fontId="2" fillId="3" borderId="47" xfId="0" applyFont="1" applyFill="1" applyBorder="1"/>
    <xf numFmtId="0" fontId="2" fillId="4" borderId="47" xfId="0" applyFont="1" applyFill="1" applyBorder="1"/>
    <xf numFmtId="0" fontId="7" fillId="3" borderId="47" xfId="0" applyFont="1" applyFill="1" applyBorder="1"/>
    <xf numFmtId="0" fontId="7" fillId="4" borderId="47" xfId="0" applyFont="1" applyFill="1" applyBorder="1"/>
    <xf numFmtId="0" fontId="2" fillId="3" borderId="50" xfId="0" applyFont="1" applyFill="1" applyBorder="1"/>
    <xf numFmtId="0" fontId="7" fillId="3" borderId="50" xfId="0" applyFont="1" applyFill="1" applyBorder="1"/>
    <xf numFmtId="0" fontId="7" fillId="4" borderId="50" xfId="0" applyFont="1" applyFill="1" applyBorder="1"/>
    <xf numFmtId="0" fontId="2" fillId="4" borderId="49" xfId="0" applyFont="1" applyFill="1" applyBorder="1"/>
    <xf numFmtId="0" fontId="7" fillId="3" borderId="49" xfId="0" applyFont="1" applyFill="1" applyBorder="1"/>
    <xf numFmtId="0" fontId="2" fillId="3" borderId="49" xfId="0" applyFont="1" applyFill="1" applyBorder="1"/>
    <xf numFmtId="0" fontId="7" fillId="4" borderId="49" xfId="0" applyFont="1" applyFill="1" applyBorder="1"/>
    <xf numFmtId="0" fontId="7" fillId="8" borderId="47" xfId="0" applyFont="1" applyFill="1" applyBorder="1"/>
    <xf numFmtId="0" fontId="2" fillId="8" borderId="47" xfId="0" applyFont="1" applyFill="1" applyBorder="1"/>
    <xf numFmtId="164" fontId="2" fillId="3" borderId="47" xfId="1" applyNumberFormat="1" applyFont="1" applyFill="1" applyBorder="1"/>
    <xf numFmtId="164" fontId="2" fillId="3" borderId="12" xfId="1" applyNumberFormat="1" applyFont="1" applyFill="1" applyBorder="1"/>
    <xf numFmtId="0" fontId="9" fillId="3" borderId="13" xfId="0" applyFont="1" applyFill="1" applyBorder="1" applyAlignment="1" applyProtection="1">
      <alignment vertical="top"/>
    </xf>
    <xf numFmtId="0" fontId="9" fillId="3" borderId="13" xfId="0" applyNumberFormat="1" applyFont="1" applyFill="1" applyBorder="1" applyAlignment="1" applyProtection="1"/>
    <xf numFmtId="164" fontId="10" fillId="3" borderId="13" xfId="1" applyNumberFormat="1" applyFont="1" applyFill="1" applyBorder="1" applyProtection="1"/>
    <xf numFmtId="0" fontId="22" fillId="3" borderId="0" xfId="0" applyNumberFormat="1" applyFont="1" applyFill="1" applyBorder="1" applyAlignment="1" applyProtection="1">
      <alignment horizontal="left" vertical="top"/>
    </xf>
    <xf numFmtId="49" fontId="22" fillId="3" borderId="0" xfId="0" applyNumberFormat="1" applyFont="1" applyFill="1" applyBorder="1" applyAlignment="1" applyProtection="1">
      <alignment horizontal="left" vertical="top"/>
    </xf>
    <xf numFmtId="0" fontId="9" fillId="3" borderId="0" xfId="0" applyNumberFormat="1" applyFont="1" applyFill="1" applyBorder="1" applyAlignment="1" applyProtection="1">
      <alignment vertical="top" wrapText="1"/>
      <protection locked="0"/>
    </xf>
    <xf numFmtId="0" fontId="2" fillId="3" borderId="0" xfId="0" applyFont="1" applyFill="1" applyBorder="1" applyAlignment="1" applyProtection="1">
      <alignment horizontal="left" indent="1"/>
    </xf>
    <xf numFmtId="165" fontId="7" fillId="3" borderId="67" xfId="1" applyNumberFormat="1" applyFont="1" applyFill="1" applyBorder="1"/>
    <xf numFmtId="166" fontId="2" fillId="6" borderId="0" xfId="3" applyNumberFormat="1" applyFont="1" applyFill="1" applyBorder="1" applyAlignment="1">
      <alignment horizontal="center"/>
    </xf>
    <xf numFmtId="164" fontId="2" fillId="6" borderId="17" xfId="1" applyNumberFormat="1" applyFont="1" applyFill="1" applyBorder="1"/>
    <xf numFmtId="165" fontId="2" fillId="6" borderId="29" xfId="1" applyNumberFormat="1" applyFont="1" applyFill="1" applyBorder="1"/>
    <xf numFmtId="165" fontId="2" fillId="3" borderId="0" xfId="1" applyNumberFormat="1" applyFont="1" applyFill="1" applyBorder="1"/>
    <xf numFmtId="165" fontId="2" fillId="6" borderId="0" xfId="1" applyNumberFormat="1" applyFont="1" applyFill="1" applyBorder="1"/>
    <xf numFmtId="165" fontId="7" fillId="3" borderId="2" xfId="1" applyNumberFormat="1" applyFont="1" applyFill="1" applyBorder="1"/>
    <xf numFmtId="165" fontId="7" fillId="3" borderId="9" xfId="1" applyNumberFormat="1" applyFont="1" applyFill="1" applyBorder="1"/>
    <xf numFmtId="165" fontId="7" fillId="3" borderId="12" xfId="1" applyNumberFormat="1" applyFont="1" applyFill="1" applyBorder="1"/>
    <xf numFmtId="165" fontId="7" fillId="6" borderId="6" xfId="1" applyNumberFormat="1" applyFont="1" applyFill="1" applyBorder="1" applyAlignment="1">
      <alignment vertical="top" wrapText="1"/>
    </xf>
    <xf numFmtId="165" fontId="7" fillId="6" borderId="9" xfId="1" applyNumberFormat="1" applyFont="1" applyFill="1" applyBorder="1"/>
    <xf numFmtId="165" fontId="2" fillId="6" borderId="9" xfId="1" applyNumberFormat="1" applyFont="1" applyFill="1" applyBorder="1"/>
    <xf numFmtId="165" fontId="7" fillId="6" borderId="71" xfId="1" applyNumberFormat="1" applyFont="1" applyFill="1" applyBorder="1"/>
    <xf numFmtId="167" fontId="7" fillId="3" borderId="0" xfId="2" applyNumberFormat="1" applyFont="1" applyFill="1" applyBorder="1"/>
    <xf numFmtId="164" fontId="2" fillId="6" borderId="0" xfId="1" applyNumberFormat="1" applyFont="1" applyFill="1" applyBorder="1"/>
    <xf numFmtId="164" fontId="7" fillId="6" borderId="0" xfId="1" applyNumberFormat="1" applyFont="1" applyFill="1" applyBorder="1"/>
    <xf numFmtId="166" fontId="2" fillId="3" borderId="0" xfId="3" applyNumberFormat="1" applyFont="1" applyFill="1" applyBorder="1" applyAlignment="1">
      <alignment horizontal="center"/>
    </xf>
    <xf numFmtId="165" fontId="2" fillId="3" borderId="0" xfId="1" applyNumberFormat="1" applyFont="1" applyFill="1" applyBorder="1" applyAlignment="1">
      <alignment horizontal="center"/>
    </xf>
    <xf numFmtId="165" fontId="7" fillId="3" borderId="0" xfId="1" applyNumberFormat="1" applyFont="1" applyFill="1" applyBorder="1" applyAlignment="1">
      <alignment horizontal="center"/>
    </xf>
    <xf numFmtId="166" fontId="7" fillId="3" borderId="2" xfId="3" applyNumberFormat="1" applyFont="1" applyFill="1" applyBorder="1" applyAlignment="1">
      <alignment horizontal="center"/>
    </xf>
    <xf numFmtId="10" fontId="7" fillId="3" borderId="2" xfId="3" applyNumberFormat="1" applyFont="1" applyFill="1" applyBorder="1" applyAlignment="1">
      <alignment horizontal="center"/>
    </xf>
    <xf numFmtId="9" fontId="2" fillId="3" borderId="0" xfId="3" applyFont="1" applyFill="1" applyBorder="1" applyAlignment="1">
      <alignment horizontal="center"/>
    </xf>
    <xf numFmtId="166" fontId="7" fillId="3" borderId="12" xfId="3" applyNumberFormat="1" applyFont="1" applyFill="1" applyBorder="1" applyAlignment="1">
      <alignment horizontal="center"/>
    </xf>
    <xf numFmtId="10" fontId="7" fillId="6" borderId="11" xfId="3" applyNumberFormat="1" applyFont="1" applyFill="1" applyBorder="1" applyAlignment="1">
      <alignment horizontal="center" vertical="top" wrapText="1"/>
    </xf>
    <xf numFmtId="10" fontId="7" fillId="6" borderId="0" xfId="3" applyNumberFormat="1" applyFont="1" applyFill="1" applyBorder="1" applyAlignment="1">
      <alignment horizontal="center"/>
    </xf>
    <xf numFmtId="166" fontId="7" fillId="6" borderId="0" xfId="3" applyNumberFormat="1" applyFont="1" applyFill="1" applyBorder="1" applyAlignment="1">
      <alignment horizontal="center"/>
    </xf>
    <xf numFmtId="9" fontId="2" fillId="6" borderId="0" xfId="3" applyFont="1" applyFill="1" applyBorder="1" applyAlignment="1">
      <alignment horizontal="center"/>
    </xf>
    <xf numFmtId="10" fontId="7" fillId="6" borderId="12" xfId="3" applyNumberFormat="1" applyFont="1" applyFill="1" applyBorder="1" applyAlignment="1">
      <alignment horizontal="center"/>
    </xf>
    <xf numFmtId="0" fontId="2" fillId="3" borderId="72" xfId="0" applyFont="1" applyFill="1" applyBorder="1"/>
    <xf numFmtId="164" fontId="2" fillId="3" borderId="72" xfId="1" applyNumberFormat="1" applyFont="1" applyFill="1" applyBorder="1"/>
    <xf numFmtId="164" fontId="7" fillId="3" borderId="72" xfId="1" applyNumberFormat="1" applyFont="1" applyFill="1" applyBorder="1"/>
    <xf numFmtId="164" fontId="2" fillId="6" borderId="72" xfId="1" applyNumberFormat="1" applyFont="1" applyFill="1" applyBorder="1"/>
    <xf numFmtId="164" fontId="7" fillId="6" borderId="72" xfId="1" applyNumberFormat="1" applyFont="1" applyFill="1" applyBorder="1"/>
    <xf numFmtId="166" fontId="7" fillId="3" borderId="44" xfId="3" applyNumberFormat="1" applyFont="1" applyFill="1" applyBorder="1" applyAlignment="1">
      <alignment horizontal="center"/>
    </xf>
    <xf numFmtId="166" fontId="2" fillId="6" borderId="72" xfId="3" applyNumberFormat="1" applyFont="1" applyFill="1" applyBorder="1" applyAlignment="1">
      <alignment horizontal="center"/>
    </xf>
    <xf numFmtId="0" fontId="7" fillId="3" borderId="72" xfId="0" applyFont="1" applyFill="1" applyBorder="1"/>
    <xf numFmtId="0" fontId="2" fillId="3" borderId="0" xfId="0" applyNumberFormat="1" applyFont="1" applyFill="1" applyProtection="1"/>
    <xf numFmtId="37" fontId="2" fillId="3" borderId="47" xfId="1" applyNumberFormat="1" applyFont="1" applyFill="1" applyBorder="1"/>
    <xf numFmtId="37" fontId="2" fillId="8" borderId="47" xfId="1" applyNumberFormat="1" applyFont="1" applyFill="1" applyBorder="1" applyAlignment="1">
      <alignment horizontal="right"/>
    </xf>
    <xf numFmtId="37" fontId="7" fillId="8" borderId="47" xfId="1" applyNumberFormat="1" applyFont="1" applyFill="1" applyBorder="1" applyAlignment="1">
      <alignment horizontal="right"/>
    </xf>
    <xf numFmtId="37" fontId="9" fillId="3" borderId="0" xfId="2" applyNumberFormat="1" applyFont="1" applyFill="1" applyBorder="1" applyProtection="1">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42" fontId="9" fillId="3" borderId="0" xfId="1" applyNumberFormat="1" applyFont="1" applyFill="1" applyBorder="1" applyProtection="1">
      <protection locked="0"/>
    </xf>
    <xf numFmtId="41" fontId="9" fillId="3" borderId="0" xfId="2" applyNumberFormat="1" applyFont="1" applyFill="1" applyBorder="1" applyProtection="1">
      <protection locked="0"/>
    </xf>
    <xf numFmtId="49" fontId="22" fillId="3" borderId="0" xfId="0" applyNumberFormat="1" applyFont="1" applyFill="1" applyAlignment="1" applyProtection="1">
      <alignment vertical="center"/>
    </xf>
    <xf numFmtId="42" fontId="2" fillId="3" borderId="0" xfId="0" applyNumberFormat="1" applyFont="1" applyFill="1" applyProtection="1"/>
    <xf numFmtId="42" fontId="9" fillId="3" borderId="0" xfId="2" applyNumberFormat="1" applyFont="1" applyFill="1" applyBorder="1" applyProtection="1">
      <protection locked="0"/>
    </xf>
    <xf numFmtId="42" fontId="9" fillId="3" borderId="46" xfId="2" applyNumberFormat="1" applyFont="1" applyFill="1" applyBorder="1" applyAlignment="1" applyProtection="1">
      <alignment horizontal="right" vertical="top"/>
      <protection locked="0"/>
    </xf>
    <xf numFmtId="42" fontId="9" fillId="4" borderId="0" xfId="1" applyNumberFormat="1" applyFont="1" applyFill="1" applyBorder="1" applyAlignment="1" applyProtection="1">
      <protection locked="0"/>
    </xf>
    <xf numFmtId="41" fontId="9" fillId="3" borderId="0" xfId="1" applyNumberFormat="1" applyFont="1" applyFill="1" applyBorder="1" applyProtection="1">
      <protection locked="0"/>
    </xf>
    <xf numFmtId="0" fontId="2" fillId="3" borderId="0" xfId="0" applyNumberFormat="1" applyFont="1" applyFill="1" applyBorder="1" applyProtection="1"/>
    <xf numFmtId="0" fontId="9" fillId="4" borderId="0" xfId="0" applyFont="1" applyFill="1" applyAlignment="1" applyProtection="1">
      <alignment horizontal="left" vertical="center"/>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167" fontId="9" fillId="4" borderId="46" xfId="2" applyNumberFormat="1" applyFont="1" applyFill="1" applyBorder="1" applyAlignment="1" applyProtection="1">
      <protection locked="0"/>
    </xf>
    <xf numFmtId="42" fontId="9" fillId="3" borderId="46" xfId="1" applyNumberFormat="1" applyFont="1" applyFill="1" applyBorder="1" applyAlignment="1" applyProtection="1">
      <alignment vertical="center"/>
      <protection locked="0"/>
    </xf>
    <xf numFmtId="0" fontId="9" fillId="4" borderId="0" xfId="0" applyFont="1" applyFill="1" applyAlignment="1" applyProtection="1">
      <alignment horizontal="left" vertical="center"/>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vertical="top"/>
      <protection locked="0"/>
    </xf>
    <xf numFmtId="42" fontId="9" fillId="3" borderId="46" xfId="1" applyNumberFormat="1" applyFont="1" applyFill="1" applyBorder="1" applyProtection="1">
      <protection locked="0"/>
    </xf>
    <xf numFmtId="42" fontId="9" fillId="3" borderId="46" xfId="2" applyNumberFormat="1" applyFont="1" applyFill="1" applyBorder="1" applyProtection="1">
      <protection locked="0"/>
    </xf>
    <xf numFmtId="0" fontId="10" fillId="3" borderId="0" xfId="0" applyFont="1" applyFill="1" applyProtection="1">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9" fillId="4" borderId="0" xfId="0" applyFont="1" applyFill="1" applyAlignment="1" applyProtection="1">
      <alignment horizontal="left" vertical="top"/>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vertical="top"/>
      <protection locked="0"/>
    </xf>
    <xf numFmtId="0" fontId="9" fillId="4" borderId="0" xfId="0" applyFont="1" applyFill="1" applyAlignment="1" applyProtection="1">
      <alignment horizontal="left"/>
      <protection locked="0"/>
    </xf>
    <xf numFmtId="167" fontId="9" fillId="3" borderId="0" xfId="1" applyNumberFormat="1" applyFont="1" applyFill="1" applyBorder="1" applyProtection="1">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protection locked="0"/>
    </xf>
    <xf numFmtId="0" fontId="9" fillId="3" borderId="0" xfId="0" applyNumberFormat="1" applyFont="1" applyFill="1" applyBorder="1" applyAlignment="1" applyProtection="1">
      <alignment horizontal="left" vertical="top" wrapText="1"/>
      <protection locked="0"/>
    </xf>
    <xf numFmtId="164" fontId="9" fillId="3" borderId="11" xfId="1" applyNumberFormat="1" applyFont="1" applyFill="1" applyBorder="1" applyProtection="1">
      <protection locked="0"/>
    </xf>
    <xf numFmtId="0" fontId="9" fillId="3" borderId="0" xfId="0" applyFont="1" applyFill="1" applyAlignment="1" applyProtection="1">
      <protection locked="0"/>
    </xf>
    <xf numFmtId="0" fontId="22" fillId="3" borderId="0" xfId="14" applyNumberFormat="1" applyFont="1" applyFill="1" applyBorder="1" applyAlignment="1" applyProtection="1">
      <alignment vertical="top"/>
      <protection locked="0"/>
    </xf>
    <xf numFmtId="49" fontId="22" fillId="3" borderId="0" xfId="0" applyNumberFormat="1" applyFont="1" applyFill="1" applyProtection="1"/>
    <xf numFmtId="0" fontId="9" fillId="3" borderId="0" xfId="14" applyNumberFormat="1" applyFont="1" applyFill="1" applyBorder="1" applyAlignment="1" applyProtection="1">
      <alignment horizontal="left" vertical="top" indent="1"/>
      <protection locked="0"/>
    </xf>
    <xf numFmtId="0" fontId="2" fillId="4" borderId="15" xfId="0" applyFont="1" applyFill="1" applyBorder="1"/>
    <xf numFmtId="49" fontId="2" fillId="3" borderId="29" xfId="0" applyNumberFormat="1" applyFont="1" applyFill="1" applyBorder="1" applyAlignment="1">
      <alignment horizontal="center"/>
    </xf>
    <xf numFmtId="0" fontId="9" fillId="3" borderId="0" xfId="0" applyNumberFormat="1" applyFont="1" applyFill="1" applyBorder="1" applyAlignment="1" applyProtection="1">
      <alignment horizontal="justify" vertical="top" wrapText="1"/>
      <protection locked="0"/>
    </xf>
    <xf numFmtId="0" fontId="2" fillId="3" borderId="29" xfId="0" applyNumberFormat="1" applyFont="1" applyFill="1" applyBorder="1" applyAlignment="1">
      <alignment horizontal="center"/>
    </xf>
    <xf numFmtId="6" fontId="25" fillId="2" borderId="18" xfId="0" applyNumberFormat="1" applyFont="1" applyFill="1" applyBorder="1" applyAlignment="1">
      <alignment horizontal="center" vertical="center" wrapText="1"/>
    </xf>
    <xf numFmtId="6" fontId="25" fillId="2" borderId="10" xfId="0" applyNumberFormat="1" applyFont="1" applyFill="1" applyBorder="1" applyAlignment="1">
      <alignment horizontal="center" vertical="center" wrapText="1"/>
    </xf>
    <xf numFmtId="6" fontId="25" fillId="2" borderId="25" xfId="0" applyNumberFormat="1" applyFont="1" applyFill="1" applyBorder="1" applyAlignment="1">
      <alignment horizontal="center" vertical="center" wrapText="1"/>
    </xf>
    <xf numFmtId="0" fontId="25" fillId="2" borderId="14" xfId="0" applyFont="1" applyFill="1" applyBorder="1" applyAlignment="1">
      <alignment horizontal="center"/>
    </xf>
    <xf numFmtId="0" fontId="25" fillId="2" borderId="15" xfId="0" applyFont="1" applyFill="1" applyBorder="1" applyAlignment="1">
      <alignment horizontal="center"/>
    </xf>
    <xf numFmtId="0" fontId="25" fillId="2" borderId="16" xfId="0" applyFont="1" applyFill="1" applyBorder="1" applyAlignment="1">
      <alignment horizontal="center"/>
    </xf>
    <xf numFmtId="0" fontId="7" fillId="6" borderId="23" xfId="0" applyFont="1" applyFill="1" applyBorder="1" applyAlignment="1">
      <alignment horizontal="left" vertical="top" wrapText="1"/>
    </xf>
    <xf numFmtId="0" fontId="7" fillId="6" borderId="11" xfId="0" applyFont="1" applyFill="1" applyBorder="1" applyAlignment="1">
      <alignment horizontal="left" vertical="top" wrapText="1"/>
    </xf>
    <xf numFmtId="0" fontId="7" fillId="6" borderId="43" xfId="0" applyFont="1" applyFill="1" applyBorder="1" applyAlignment="1">
      <alignment horizontal="left" vertical="top" wrapText="1"/>
    </xf>
    <xf numFmtId="0" fontId="25" fillId="2" borderId="51"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9" borderId="59" xfId="0" applyFont="1" applyFill="1" applyBorder="1" applyAlignment="1">
      <alignment horizontal="center" vertical="center" wrapText="1"/>
    </xf>
    <xf numFmtId="0" fontId="25" fillId="9" borderId="60" xfId="0" applyFont="1" applyFill="1" applyBorder="1" applyAlignment="1">
      <alignment horizontal="center" vertical="center" wrapText="1"/>
    </xf>
    <xf numFmtId="0" fontId="25" fillId="9" borderId="63" xfId="0" applyFont="1" applyFill="1" applyBorder="1" applyAlignment="1">
      <alignment horizontal="center" vertical="center" wrapText="1"/>
    </xf>
    <xf numFmtId="0" fontId="2" fillId="3" borderId="0" xfId="0" applyFont="1" applyFill="1" applyBorder="1" applyAlignment="1">
      <alignment horizontal="left" wrapText="1"/>
    </xf>
    <xf numFmtId="0" fontId="25" fillId="2" borderId="64" xfId="0" applyFont="1" applyFill="1" applyBorder="1" applyAlignment="1">
      <alignment horizontal="center"/>
    </xf>
    <xf numFmtId="0" fontId="25" fillId="2" borderId="65" xfId="0" applyFont="1" applyFill="1" applyBorder="1" applyAlignment="1">
      <alignment horizontal="center"/>
    </xf>
    <xf numFmtId="0" fontId="25" fillId="2" borderId="66" xfId="0" applyFont="1" applyFill="1" applyBorder="1" applyAlignment="1">
      <alignment horizontal="center"/>
    </xf>
    <xf numFmtId="6" fontId="25" fillId="2" borderId="54" xfId="0" applyNumberFormat="1" applyFont="1" applyFill="1" applyBorder="1" applyAlignment="1">
      <alignment horizontal="center" vertical="center" wrapText="1"/>
    </xf>
    <xf numFmtId="6" fontId="25" fillId="2" borderId="56" xfId="0" applyNumberFormat="1" applyFont="1" applyFill="1" applyBorder="1" applyAlignment="1">
      <alignment horizontal="center" vertical="center" wrapText="1"/>
    </xf>
    <xf numFmtId="6" fontId="25" fillId="2" borderId="55" xfId="0" applyNumberFormat="1" applyFont="1" applyFill="1" applyBorder="1" applyAlignment="1">
      <alignment horizontal="center" vertical="center" wrapText="1"/>
    </xf>
    <xf numFmtId="6" fontId="25" fillId="2" borderId="57" xfId="0" applyNumberFormat="1" applyFont="1" applyFill="1" applyBorder="1" applyAlignment="1">
      <alignment horizontal="center" vertical="center" wrapText="1"/>
    </xf>
    <xf numFmtId="6" fontId="25" fillId="2" borderId="53" xfId="0" applyNumberFormat="1" applyFont="1" applyFill="1" applyBorder="1" applyAlignment="1">
      <alignment horizontal="center" vertical="center" wrapText="1"/>
    </xf>
    <xf numFmtId="6" fontId="25" fillId="2" borderId="58" xfId="0" applyNumberFormat="1" applyFont="1" applyFill="1" applyBorder="1" applyAlignment="1">
      <alignment horizontal="center" vertical="center" wrapText="1"/>
    </xf>
    <xf numFmtId="0" fontId="25" fillId="2" borderId="68" xfId="0" applyFont="1" applyFill="1" applyBorder="1" applyAlignment="1">
      <alignment horizontal="center"/>
    </xf>
    <xf numFmtId="0" fontId="25" fillId="2" borderId="73" xfId="0" applyFont="1" applyFill="1" applyBorder="1" applyAlignment="1">
      <alignment horizontal="center"/>
    </xf>
    <xf numFmtId="6" fontId="25" fillId="2" borderId="60" xfId="0" applyNumberFormat="1" applyFont="1" applyFill="1" applyBorder="1" applyAlignment="1">
      <alignment horizontal="center" vertical="center" wrapText="1"/>
    </xf>
    <xf numFmtId="6" fontId="25" fillId="2" borderId="74" xfId="0" applyNumberFormat="1" applyFont="1" applyFill="1" applyBorder="1" applyAlignment="1">
      <alignment horizontal="center" vertical="center" wrapText="1"/>
    </xf>
    <xf numFmtId="0" fontId="16" fillId="3" borderId="0" xfId="0" applyFont="1" applyFill="1" applyAlignment="1">
      <alignment horizontal="left" wrapText="1"/>
    </xf>
    <xf numFmtId="6" fontId="25" fillId="2" borderId="0" xfId="0" applyNumberFormat="1" applyFont="1" applyFill="1" applyBorder="1" applyAlignment="1">
      <alignment horizontal="center" vertical="center" wrapText="1"/>
    </xf>
    <xf numFmtId="6" fontId="25" fillId="2" borderId="13" xfId="0" applyNumberFormat="1" applyFont="1" applyFill="1" applyBorder="1" applyAlignment="1">
      <alignment horizontal="center" vertical="center" wrapText="1"/>
    </xf>
    <xf numFmtId="6" fontId="25" fillId="2" borderId="69" xfId="0" applyNumberFormat="1" applyFont="1" applyFill="1" applyBorder="1" applyAlignment="1">
      <alignment horizontal="center" vertical="center" wrapText="1"/>
    </xf>
    <xf numFmtId="6" fontId="25" fillId="2" borderId="70" xfId="0" applyNumberFormat="1" applyFont="1" applyFill="1" applyBorder="1" applyAlignment="1">
      <alignment horizontal="center" vertical="center" wrapText="1"/>
    </xf>
    <xf numFmtId="6" fontId="25" fillId="2" borderId="20" xfId="0" applyNumberFormat="1" applyFont="1" applyFill="1" applyBorder="1" applyAlignment="1">
      <alignment horizontal="center" vertical="center" wrapText="1"/>
    </xf>
    <xf numFmtId="6" fontId="25" fillId="2" borderId="27" xfId="0" applyNumberFormat="1" applyFont="1" applyFill="1" applyBorder="1" applyAlignment="1">
      <alignment horizontal="center" vertical="center" wrapText="1"/>
    </xf>
    <xf numFmtId="6" fontId="25" fillId="2" borderId="14" xfId="0" applyNumberFormat="1" applyFont="1" applyFill="1" applyBorder="1" applyAlignment="1">
      <alignment horizontal="center" vertical="center" wrapText="1"/>
    </xf>
    <xf numFmtId="6" fontId="25" fillId="2" borderId="17" xfId="0" applyNumberFormat="1" applyFont="1" applyFill="1" applyBorder="1" applyAlignment="1">
      <alignment horizontal="center" vertical="center" wrapText="1"/>
    </xf>
    <xf numFmtId="6" fontId="25" fillId="2" borderId="24" xfId="0" applyNumberFormat="1" applyFont="1" applyFill="1" applyBorder="1" applyAlignment="1">
      <alignment horizontal="center" vertical="center" wrapText="1"/>
    </xf>
    <xf numFmtId="0" fontId="2" fillId="3" borderId="0" xfId="0" applyFont="1" applyFill="1" applyBorder="1" applyAlignment="1">
      <alignment horizontal="left" vertical="top" wrapText="1"/>
    </xf>
    <xf numFmtId="6" fontId="25" fillId="2" borderId="19" xfId="0" applyNumberFormat="1" applyFont="1" applyFill="1" applyBorder="1" applyAlignment="1">
      <alignment horizontal="center" vertical="center" wrapText="1"/>
    </xf>
    <xf numFmtId="6" fontId="25" fillId="2" borderId="8" xfId="0" applyNumberFormat="1" applyFont="1" applyFill="1" applyBorder="1" applyAlignment="1">
      <alignment horizontal="center" vertical="center" wrapText="1"/>
    </xf>
    <xf numFmtId="6" fontId="25" fillId="2" borderId="26" xfId="0" applyNumberFormat="1" applyFont="1" applyFill="1" applyBorder="1" applyAlignment="1">
      <alignment horizontal="center" vertical="center" wrapText="1"/>
    </xf>
    <xf numFmtId="6" fontId="25" fillId="2" borderId="21" xfId="0" applyNumberFormat="1" applyFont="1" applyFill="1" applyBorder="1" applyAlignment="1">
      <alignment horizontal="center" vertical="center" wrapText="1"/>
    </xf>
    <xf numFmtId="6" fontId="25" fillId="2" borderId="22" xfId="0" applyNumberFormat="1" applyFont="1" applyFill="1" applyBorder="1" applyAlignment="1">
      <alignment horizontal="center" vertical="center" wrapText="1"/>
    </xf>
    <xf numFmtId="6" fontId="25" fillId="2" borderId="28" xfId="0" applyNumberFormat="1" applyFont="1" applyFill="1" applyBorder="1" applyAlignment="1">
      <alignment horizontal="center" vertical="center" wrapText="1"/>
    </xf>
    <xf numFmtId="0" fontId="23" fillId="7" borderId="47" xfId="0" applyFont="1" applyFill="1" applyBorder="1" applyAlignment="1">
      <alignment horizontal="left"/>
    </xf>
    <xf numFmtId="0" fontId="23" fillId="7" borderId="47" xfId="0" applyFont="1" applyFill="1" applyBorder="1" applyAlignment="1">
      <alignment horizontal="center" wrapText="1"/>
    </xf>
    <xf numFmtId="6" fontId="8" fillId="2" borderId="47" xfId="0" applyNumberFormat="1" applyFont="1" applyFill="1" applyBorder="1" applyAlignment="1">
      <alignment horizontal="center" vertical="center" wrapText="1"/>
    </xf>
    <xf numFmtId="6" fontId="8" fillId="2" borderId="14" xfId="0" applyNumberFormat="1" applyFont="1" applyFill="1" applyBorder="1" applyAlignment="1">
      <alignment horizontal="center" vertical="center" wrapText="1"/>
    </xf>
    <xf numFmtId="6" fontId="8" fillId="2" borderId="17" xfId="0" applyNumberFormat="1" applyFont="1" applyFill="1" applyBorder="1" applyAlignment="1">
      <alignment horizontal="center" vertical="center" wrapText="1"/>
    </xf>
    <xf numFmtId="6" fontId="8" fillId="2" borderId="24" xfId="0" applyNumberFormat="1" applyFont="1" applyFill="1" applyBorder="1" applyAlignment="1">
      <alignment horizontal="center" vertical="center" wrapText="1"/>
    </xf>
    <xf numFmtId="0" fontId="8" fillId="2" borderId="47" xfId="0" applyFont="1" applyFill="1" applyBorder="1" applyAlignment="1">
      <alignment horizontal="center" vertical="center" wrapText="1"/>
    </xf>
    <xf numFmtId="0" fontId="9" fillId="3" borderId="0" xfId="0" applyNumberFormat="1" applyFont="1" applyFill="1" applyAlignment="1" applyProtection="1">
      <alignment horizontal="justify" vertical="top" wrapText="1"/>
      <protection locked="0"/>
    </xf>
    <xf numFmtId="0" fontId="9" fillId="3" borderId="0" xfId="0" applyNumberFormat="1" applyFont="1" applyFill="1" applyAlignment="1" applyProtection="1">
      <alignment horizontal="left" vertical="top" wrapText="1"/>
      <protection locked="0"/>
    </xf>
    <xf numFmtId="0" fontId="9" fillId="3" borderId="0" xfId="0" applyNumberFormat="1" applyFont="1" applyFill="1" applyAlignment="1" applyProtection="1">
      <alignment horizontal="justify" vertical="top" wrapText="1"/>
    </xf>
    <xf numFmtId="0" fontId="9" fillId="4" borderId="0" xfId="0" applyFont="1" applyFill="1" applyAlignment="1" applyProtection="1">
      <alignment horizontal="left" vertical="center"/>
      <protection locked="0"/>
    </xf>
    <xf numFmtId="0" fontId="9" fillId="4" borderId="0" xfId="0" applyFont="1" applyFill="1" applyAlignment="1" applyProtection="1">
      <alignment horizontal="left"/>
      <protection locked="0"/>
    </xf>
    <xf numFmtId="0" fontId="9" fillId="3" borderId="0" xfId="0" applyNumberFormat="1" applyFont="1" applyFill="1" applyAlignment="1" applyProtection="1">
      <alignment horizontal="left" vertical="top" wrapText="1"/>
    </xf>
    <xf numFmtId="0" fontId="9" fillId="3" borderId="13" xfId="0" applyNumberFormat="1" applyFont="1" applyFill="1" applyBorder="1" applyAlignment="1" applyProtection="1">
      <alignment horizontal="left" vertical="top" wrapText="1"/>
      <protection locked="0"/>
    </xf>
    <xf numFmtId="0" fontId="4" fillId="3" borderId="0" xfId="0" applyNumberFormat="1" applyFont="1" applyFill="1" applyAlignment="1" applyProtection="1">
      <alignment horizontal="left" vertical="top" wrapText="1"/>
      <protection locked="0"/>
    </xf>
    <xf numFmtId="0" fontId="9" fillId="3" borderId="0" xfId="0" applyNumberFormat="1" applyFont="1" applyFill="1" applyBorder="1" applyAlignment="1" applyProtection="1">
      <alignment horizontal="left" vertical="top" wrapText="1"/>
      <protection locked="0"/>
    </xf>
    <xf numFmtId="49" fontId="9" fillId="3" borderId="0" xfId="0" applyNumberFormat="1" applyFont="1" applyFill="1" applyAlignment="1" applyProtection="1">
      <alignment horizontal="left" vertical="top" wrapText="1"/>
      <protection locked="0"/>
    </xf>
    <xf numFmtId="0" fontId="18" fillId="3" borderId="0" xfId="0" applyNumberFormat="1" applyFont="1" applyFill="1" applyAlignment="1" applyProtection="1">
      <alignment horizontal="left" vertical="top" wrapText="1"/>
      <protection locked="0"/>
    </xf>
    <xf numFmtId="0" fontId="9" fillId="3" borderId="0" xfId="0" applyNumberFormat="1" applyFont="1" applyFill="1" applyBorder="1" applyAlignment="1" applyProtection="1">
      <alignment vertical="top" wrapText="1"/>
      <protection locked="0"/>
    </xf>
    <xf numFmtId="0" fontId="0" fillId="0" borderId="0" xfId="0" applyAlignment="1" applyProtection="1">
      <alignment wrapText="1"/>
      <protection locked="0"/>
    </xf>
    <xf numFmtId="0" fontId="9" fillId="3" borderId="11" xfId="0" applyNumberFormat="1" applyFont="1" applyFill="1" applyBorder="1" applyAlignment="1" applyProtection="1">
      <alignment vertical="top" wrapText="1"/>
    </xf>
    <xf numFmtId="0" fontId="0" fillId="0" borderId="11" xfId="0" applyBorder="1" applyAlignment="1">
      <alignment wrapText="1"/>
    </xf>
    <xf numFmtId="0" fontId="9" fillId="0" borderId="0" xfId="0" applyFont="1" applyBorder="1" applyAlignment="1" applyProtection="1">
      <alignment horizontal="justify" vertical="top" wrapText="1"/>
      <protection locked="0"/>
    </xf>
    <xf numFmtId="0" fontId="9" fillId="0" borderId="0" xfId="0" applyFont="1" applyAlignment="1" applyProtection="1">
      <alignment horizontal="left" vertical="top" wrapText="1"/>
      <protection locked="0"/>
    </xf>
    <xf numFmtId="49" fontId="9" fillId="3" borderId="0" xfId="0" applyNumberFormat="1" applyFont="1" applyFill="1" applyBorder="1" applyAlignment="1" applyProtection="1">
      <alignment vertical="top" wrapText="1"/>
      <protection locked="0"/>
    </xf>
    <xf numFmtId="49" fontId="0" fillId="0" borderId="0" xfId="0" applyNumberFormat="1" applyAlignment="1" applyProtection="1">
      <alignment wrapText="1"/>
      <protection locked="0"/>
    </xf>
    <xf numFmtId="0" fontId="9" fillId="4" borderId="0" xfId="0" applyFont="1" applyFill="1" applyAlignment="1" applyProtection="1">
      <alignment horizontal="left" vertical="top"/>
      <protection locked="0"/>
    </xf>
    <xf numFmtId="0" fontId="22" fillId="4" borderId="0" xfId="0" applyFont="1" applyFill="1" applyAlignment="1" applyProtection="1">
      <alignment horizontal="justify" vertical="top" wrapText="1"/>
      <protection locked="0"/>
    </xf>
    <xf numFmtId="0" fontId="9" fillId="4" borderId="0" xfId="0" applyFont="1" applyFill="1" applyAlignment="1" applyProtection="1">
      <alignment horizontal="justify" vertical="top" wrapText="1"/>
      <protection locked="0"/>
    </xf>
    <xf numFmtId="0" fontId="9" fillId="4" borderId="0" xfId="0" applyFont="1" applyFill="1" applyAlignment="1" applyProtection="1">
      <alignment horizontal="left"/>
    </xf>
    <xf numFmtId="0" fontId="4" fillId="3" borderId="0" xfId="0" applyNumberFormat="1" applyFont="1" applyFill="1" applyAlignment="1" applyProtection="1">
      <alignment horizontal="center" vertical="top" wrapText="1"/>
      <protection locked="0"/>
    </xf>
    <xf numFmtId="0" fontId="9" fillId="0" borderId="0" xfId="0" applyNumberFormat="1" applyFont="1" applyFill="1" applyAlignment="1" applyProtection="1">
      <alignment horizontal="justify" vertical="top" wrapText="1"/>
      <protection locked="0"/>
    </xf>
    <xf numFmtId="0" fontId="4" fillId="3" borderId="0" xfId="0" applyNumberFormat="1" applyFont="1" applyFill="1" applyBorder="1" applyAlignment="1" applyProtection="1">
      <alignment horizontal="left" vertical="top" wrapText="1"/>
      <protection locked="0"/>
    </xf>
    <xf numFmtId="0" fontId="9" fillId="3" borderId="0" xfId="11" applyNumberFormat="1" applyFont="1" applyFill="1" applyAlignment="1" applyProtection="1">
      <alignment horizontal="justify" vertical="top" wrapText="1"/>
      <protection locked="0"/>
    </xf>
    <xf numFmtId="0" fontId="9" fillId="3" borderId="0" xfId="0" applyNumberFormat="1" applyFont="1" applyFill="1" applyBorder="1" applyAlignment="1" applyProtection="1">
      <alignment horizontal="justify" vertical="top" wrapText="1"/>
      <protection locked="0"/>
    </xf>
    <xf numFmtId="0" fontId="9" fillId="3" borderId="0" xfId="0" applyNumberFormat="1" applyFont="1" applyFill="1" applyBorder="1" applyAlignment="1" applyProtection="1">
      <alignment horizontal="left" vertical="justify" wrapText="1"/>
      <protection locked="0"/>
    </xf>
    <xf numFmtId="0" fontId="0" fillId="0" borderId="0" xfId="0" applyAlignment="1" applyProtection="1">
      <protection locked="0"/>
    </xf>
  </cellXfs>
  <cellStyles count="20">
    <cellStyle name="Comma" xfId="1" builtinId="3"/>
    <cellStyle name="Comma 11" xfId="4"/>
    <cellStyle name="Comma 11 2" xfId="5"/>
    <cellStyle name="Comma 2" xfId="6"/>
    <cellStyle name="Comma 2 3 3" xfId="7"/>
    <cellStyle name="Comma 3" xfId="8"/>
    <cellStyle name="Currency" xfId="2" builtinId="4"/>
    <cellStyle name="Currency 2" xfId="9"/>
    <cellStyle name="Currency 2 2 2 2" xfId="10"/>
    <cellStyle name="Normal" xfId="0" builtinId="0"/>
    <cellStyle name="Normal 10" xfId="11"/>
    <cellStyle name="Normal 10 2" xfId="12"/>
    <cellStyle name="Normal 2" xfId="13"/>
    <cellStyle name="Normal 2 2" xfId="14"/>
    <cellStyle name="Normal 2 2 2" xfId="15"/>
    <cellStyle name="Normal 2 2 2 2" xfId="16"/>
    <cellStyle name="Normal 26" xfId="17"/>
    <cellStyle name="Percent" xfId="3" builtinId="5"/>
    <cellStyle name="Percent 2" xfId="18"/>
    <cellStyle name="PSChar" xfId="19"/>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layout/>
      <c:overlay val="0"/>
    </c:title>
    <c:autoTitleDeleted val="0"/>
    <c:plotArea>
      <c:layout/>
      <c:lineChart>
        <c:grouping val="standard"/>
        <c:varyColors val="0"/>
        <c:ser>
          <c:idx val="2"/>
          <c:order val="0"/>
          <c:tx>
            <c:strRef>
              <c:f>Myr!$J$3</c:f>
              <c:strCache>
                <c:ptCount val="1"/>
                <c:pt idx="0">
                  <c:v>2012</c:v>
                </c:pt>
              </c:strCache>
            </c:strRef>
          </c:tx>
          <c:marker>
            <c:symbol val="square"/>
            <c:size val="5"/>
          </c:marker>
          <c:cat>
            <c:strLit>
              <c:ptCount val="4"/>
              <c:pt idx="0">
                <c:v>Q1</c:v>
              </c:pt>
              <c:pt idx="1">
                <c:v> Q2</c:v>
              </c:pt>
              <c:pt idx="2">
                <c:v> Q3</c:v>
              </c:pt>
              <c:pt idx="3">
                <c:v> Year-End</c:v>
              </c:pt>
            </c:strLit>
          </c:cat>
          <c:val>
            <c:numRef>
              <c:f>Myr!$J$5:$J$8</c:f>
              <c:numCache>
                <c:formatCode>_(* #,##0_);_(* \(#,##0\);_(* "-"??_);_(@_)</c:formatCode>
                <c:ptCount val="4"/>
                <c:pt idx="1">
                  <c:v>0</c:v>
                </c:pt>
                <c:pt idx="2">
                  <c:v>0</c:v>
                </c:pt>
                <c:pt idx="3">
                  <c:v>0</c:v>
                </c:pt>
              </c:numCache>
            </c:numRef>
          </c:val>
          <c:smooth val="0"/>
        </c:ser>
        <c:ser>
          <c:idx val="0"/>
          <c:order val="1"/>
          <c:tx>
            <c:strRef>
              <c:f>Myr!$K$3</c:f>
              <c:strCache>
                <c:ptCount val="1"/>
                <c:pt idx="0">
                  <c:v>2013</c:v>
                </c:pt>
              </c:strCache>
            </c:strRef>
          </c:tx>
          <c:cat>
            <c:strLit>
              <c:ptCount val="4"/>
              <c:pt idx="0">
                <c:v>Q1</c:v>
              </c:pt>
              <c:pt idx="1">
                <c:v> Q2</c:v>
              </c:pt>
              <c:pt idx="2">
                <c:v> Q3</c:v>
              </c:pt>
              <c:pt idx="3">
                <c:v> Year-End</c:v>
              </c:pt>
            </c:strLit>
          </c:cat>
          <c:val>
            <c:numRef>
              <c:f>Myr!$K$5:$K$8</c:f>
              <c:numCache>
                <c:formatCode>_(* #,##0_);_(* \(#,##0\);_(* "-"??_);_(@_)</c:formatCode>
                <c:ptCount val="4"/>
                <c:pt idx="1">
                  <c:v>0</c:v>
                </c:pt>
                <c:pt idx="2">
                  <c:v>0</c:v>
                </c:pt>
                <c:pt idx="3">
                  <c:v>0</c:v>
                </c:pt>
              </c:numCache>
            </c:numRef>
          </c:val>
          <c:smooth val="0"/>
        </c:ser>
        <c:ser>
          <c:idx val="1"/>
          <c:order val="2"/>
          <c:tx>
            <c:strRef>
              <c:f>Myr!$L$3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Myr!$L$5:$L$8</c:f>
              <c:numCache>
                <c:formatCode>_(* #,##0_);_(* \(#,##0\);_(* "-"??_);_(@_)</c:formatCode>
                <c:ptCount val="4"/>
                <c:pt idx="0">
                  <c:v>0</c:v>
                </c:pt>
                <c:pt idx="1">
                  <c:v>0</c:v>
                </c:pt>
                <c:pt idx="2">
                  <c:v>0</c:v>
                </c:pt>
              </c:numCache>
            </c:numRef>
          </c:val>
          <c:smooth val="0"/>
        </c:ser>
        <c:dLbls>
          <c:showLegendKey val="0"/>
          <c:showVal val="0"/>
          <c:showCatName val="0"/>
          <c:showSerName val="0"/>
          <c:showPercent val="0"/>
          <c:showBubbleSize val="0"/>
        </c:dLbls>
        <c:marker val="1"/>
        <c:smooth val="0"/>
        <c:axId val="98157056"/>
        <c:axId val="74071360"/>
      </c:lineChart>
      <c:catAx>
        <c:axId val="98157056"/>
        <c:scaling>
          <c:orientation val="minMax"/>
        </c:scaling>
        <c:delete val="0"/>
        <c:axPos val="b"/>
        <c:numFmt formatCode="General" sourceLinked="1"/>
        <c:majorTickMark val="none"/>
        <c:minorTickMark val="none"/>
        <c:tickLblPos val="low"/>
        <c:txPr>
          <a:bodyPr rot="0" vert="horz"/>
          <a:lstStyle/>
          <a:p>
            <a:pPr>
              <a:defRPr/>
            </a:pPr>
            <a:endParaRPr lang="en-US"/>
          </a:p>
        </c:txPr>
        <c:crossAx val="74071360"/>
        <c:crosses val="autoZero"/>
        <c:auto val="1"/>
        <c:lblAlgn val="ctr"/>
        <c:lblOffset val="100"/>
        <c:tickLblSkip val="1"/>
        <c:tickMarkSkip val="1"/>
        <c:noMultiLvlLbl val="0"/>
      </c:catAx>
      <c:valAx>
        <c:axId val="74071360"/>
        <c:scaling>
          <c:orientation val="minMax"/>
          <c:max val="15000"/>
        </c:scaling>
        <c:delete val="0"/>
        <c:axPos val="l"/>
        <c:majorGridlines/>
        <c:numFmt formatCode="_(* #,##0_);_(* \(#,##0\);_(* &quot;-&quot;??_);_(@_)" sourceLinked="1"/>
        <c:majorTickMark val="out"/>
        <c:minorTickMark val="none"/>
        <c:tickLblPos val="nextTo"/>
        <c:crossAx val="98157056"/>
        <c:crosses val="autoZero"/>
        <c:crossBetween val="between"/>
        <c:majorUnit val="5000"/>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FRS!$E$3:$G$3</c:f>
              <c:numCache>
                <c:formatCode>General</c:formatCode>
                <c:ptCount val="3"/>
                <c:pt idx="0">
                  <c:v>2012</c:v>
                </c:pt>
                <c:pt idx="1">
                  <c:v>2013</c:v>
                </c:pt>
                <c:pt idx="2">
                  <c:v>2014</c:v>
                </c:pt>
              </c:numCache>
            </c:numRef>
          </c:cat>
          <c:val>
            <c:numRef>
              <c:f>FRS!$E$7:$G$7</c:f>
              <c:numCache>
                <c:formatCode>_(* #,##0_);_(* \(#,##0\);_(* "-"??_);_(@_)</c:formatCode>
                <c:ptCount val="3"/>
                <c:pt idx="0">
                  <c:v>33698435</c:v>
                </c:pt>
                <c:pt idx="1">
                  <c:v>35278402</c:v>
                </c:pt>
                <c:pt idx="2">
                  <c:v>39412820</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FRS!$E$3:$G$3</c:f>
              <c:numCache>
                <c:formatCode>General</c:formatCode>
                <c:ptCount val="3"/>
                <c:pt idx="0">
                  <c:v>2012</c:v>
                </c:pt>
                <c:pt idx="1">
                  <c:v>2013</c:v>
                </c:pt>
                <c:pt idx="2">
                  <c:v>2014</c:v>
                </c:pt>
              </c:numCache>
            </c:numRef>
          </c:cat>
          <c:val>
            <c:numRef>
              <c:f>FRS!$E$6:$G$6</c:f>
              <c:numCache>
                <c:formatCode>_(* #,##0_);_(* \(#,##0\);_(* "-"??_);_(@_)</c:formatCode>
                <c:ptCount val="3"/>
                <c:pt idx="0">
                  <c:v>33813373</c:v>
                </c:pt>
                <c:pt idx="1">
                  <c:v>35133818</c:v>
                </c:pt>
                <c:pt idx="2">
                  <c:v>39412820</c:v>
                </c:pt>
              </c:numCache>
            </c:numRef>
          </c:val>
        </c:ser>
        <c:dLbls>
          <c:showLegendKey val="0"/>
          <c:showVal val="1"/>
          <c:showCatName val="0"/>
          <c:showSerName val="0"/>
          <c:showPercent val="0"/>
          <c:showBubbleSize val="0"/>
        </c:dLbls>
        <c:gapWidth val="150"/>
        <c:axId val="99300352"/>
        <c:axId val="99382912"/>
      </c:barChart>
      <c:catAx>
        <c:axId val="99300352"/>
        <c:scaling>
          <c:orientation val="minMax"/>
        </c:scaling>
        <c:delete val="0"/>
        <c:axPos val="b"/>
        <c:numFmt formatCode="General" sourceLinked="1"/>
        <c:majorTickMark val="none"/>
        <c:minorTickMark val="none"/>
        <c:tickLblPos val="nextTo"/>
        <c:txPr>
          <a:bodyPr rot="0" vert="horz"/>
          <a:lstStyle/>
          <a:p>
            <a:pPr>
              <a:defRPr/>
            </a:pPr>
            <a:endParaRPr lang="en-US"/>
          </a:p>
        </c:txPr>
        <c:crossAx val="99382912"/>
        <c:crosses val="autoZero"/>
        <c:auto val="1"/>
        <c:lblAlgn val="ctr"/>
        <c:lblOffset val="100"/>
        <c:tickLblSkip val="1"/>
        <c:tickMarkSkip val="1"/>
        <c:noMultiLvlLbl val="0"/>
      </c:catAx>
      <c:valAx>
        <c:axId val="99382912"/>
        <c:scaling>
          <c:orientation val="minMax"/>
        </c:scaling>
        <c:delete val="0"/>
        <c:axPos val="l"/>
        <c:numFmt formatCode="_(* #,##0_);_(* \(#,##0\);_(* &quot;-&quot;??_);_(@_)" sourceLinked="1"/>
        <c:majorTickMark val="none"/>
        <c:minorTickMark val="none"/>
        <c:tickLblPos val="none"/>
        <c:crossAx val="9930035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Fin!$J$3</c:f>
              <c:strCache>
                <c:ptCount val="1"/>
                <c:pt idx="0">
                  <c:v>2012</c:v>
                </c:pt>
              </c:strCache>
            </c:strRef>
          </c:tx>
          <c:marker>
            <c:symbol val="square"/>
            <c:size val="5"/>
          </c:marker>
          <c:cat>
            <c:strLit>
              <c:ptCount val="4"/>
              <c:pt idx="0">
                <c:v>Q1</c:v>
              </c:pt>
              <c:pt idx="1">
                <c:v> Q2</c:v>
              </c:pt>
              <c:pt idx="2">
                <c:v> Q3</c:v>
              </c:pt>
              <c:pt idx="3">
                <c:v> Year-End</c:v>
              </c:pt>
            </c:strLit>
          </c:cat>
          <c:val>
            <c:numRef>
              <c:f>Fin!$J$5:$J$8</c:f>
              <c:numCache>
                <c:formatCode>_(* #,##0_);_(* \(#,##0\);_(* "-"??_);_(@_)</c:formatCode>
                <c:ptCount val="4"/>
                <c:pt idx="1">
                  <c:v>-15000</c:v>
                </c:pt>
                <c:pt idx="2">
                  <c:v>-445000</c:v>
                </c:pt>
                <c:pt idx="3">
                  <c:v>376256</c:v>
                </c:pt>
              </c:numCache>
            </c:numRef>
          </c:val>
          <c:smooth val="0"/>
        </c:ser>
        <c:ser>
          <c:idx val="0"/>
          <c:order val="1"/>
          <c:tx>
            <c:strRef>
              <c:f>Fin!$K$3</c:f>
              <c:strCache>
                <c:ptCount val="1"/>
                <c:pt idx="0">
                  <c:v>2013</c:v>
                </c:pt>
              </c:strCache>
            </c:strRef>
          </c:tx>
          <c:cat>
            <c:strLit>
              <c:ptCount val="4"/>
              <c:pt idx="0">
                <c:v>Q1</c:v>
              </c:pt>
              <c:pt idx="1">
                <c:v> Q2</c:v>
              </c:pt>
              <c:pt idx="2">
                <c:v> Q3</c:v>
              </c:pt>
              <c:pt idx="3">
                <c:v> Year-End</c:v>
              </c:pt>
            </c:strLit>
          </c:cat>
          <c:val>
            <c:numRef>
              <c:f>Fin!$K$5:$K$8</c:f>
              <c:numCache>
                <c:formatCode>_(* #,##0_);_(* \(#,##0\);_(* "-"??_);_(@_)</c:formatCode>
                <c:ptCount val="4"/>
                <c:pt idx="1">
                  <c:v>88000</c:v>
                </c:pt>
                <c:pt idx="2">
                  <c:v>170000</c:v>
                </c:pt>
                <c:pt idx="3">
                  <c:v>524552</c:v>
                </c:pt>
              </c:numCache>
            </c:numRef>
          </c:val>
          <c:smooth val="0"/>
        </c:ser>
        <c:ser>
          <c:idx val="1"/>
          <c:order val="2"/>
          <c:tx>
            <c:strRef>
              <c:f>Fin!$L$3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Fin!$L$5:$L$8</c:f>
              <c:numCache>
                <c:formatCode>_(* #,##0_);_(* \(#,##0\);_(* "-"??_);_(@_)</c:formatCode>
                <c:ptCount val="4"/>
                <c:pt idx="0">
                  <c:v>0</c:v>
                </c:pt>
                <c:pt idx="1">
                  <c:v>95000</c:v>
                </c:pt>
                <c:pt idx="2">
                  <c:v>175000</c:v>
                </c:pt>
              </c:numCache>
            </c:numRef>
          </c:val>
          <c:smooth val="0"/>
        </c:ser>
        <c:dLbls>
          <c:showLegendKey val="0"/>
          <c:showVal val="0"/>
          <c:showCatName val="0"/>
          <c:showSerName val="0"/>
          <c:showPercent val="0"/>
          <c:showBubbleSize val="0"/>
        </c:dLbls>
        <c:marker val="1"/>
        <c:smooth val="0"/>
        <c:axId val="99225600"/>
        <c:axId val="126566400"/>
      </c:lineChart>
      <c:catAx>
        <c:axId val="99225600"/>
        <c:scaling>
          <c:orientation val="minMax"/>
        </c:scaling>
        <c:delete val="0"/>
        <c:axPos val="b"/>
        <c:numFmt formatCode="General" sourceLinked="1"/>
        <c:majorTickMark val="none"/>
        <c:minorTickMark val="none"/>
        <c:tickLblPos val="low"/>
        <c:txPr>
          <a:bodyPr rot="0" vert="horz"/>
          <a:lstStyle/>
          <a:p>
            <a:pPr>
              <a:defRPr/>
            </a:pPr>
            <a:endParaRPr lang="en-US"/>
          </a:p>
        </c:txPr>
        <c:crossAx val="126566400"/>
        <c:crosses val="autoZero"/>
        <c:auto val="1"/>
        <c:lblAlgn val="ctr"/>
        <c:lblOffset val="100"/>
        <c:tickLblSkip val="1"/>
        <c:tickMarkSkip val="1"/>
        <c:noMultiLvlLbl val="0"/>
      </c:catAx>
      <c:valAx>
        <c:axId val="126566400"/>
        <c:scaling>
          <c:orientation val="minMax"/>
        </c:scaling>
        <c:delete val="0"/>
        <c:axPos val="l"/>
        <c:majorGridlines/>
        <c:numFmt formatCode="_(* #,##0_);_(* \(#,##0\);_(* &quot;-&quot;??_);_(@_)" sourceLinked="1"/>
        <c:majorTickMark val="out"/>
        <c:minorTickMark val="none"/>
        <c:tickLblPos val="nextTo"/>
        <c:crossAx val="9922560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16E-3"/>
                  <c:y val="0"/>
                </c:manualLayout>
              </c:layout>
              <c:dLblPos val="outEnd"/>
              <c:showLegendKey val="0"/>
              <c:showVal val="1"/>
              <c:showCatName val="0"/>
              <c:showSerName val="0"/>
              <c:showPercent val="0"/>
              <c:showBubbleSize val="0"/>
            </c:dLbl>
            <c:dLbl>
              <c:idx val="1"/>
              <c:layout>
                <c:manualLayout>
                  <c:x val="-6.3212202963108524E-3"/>
                  <c:y val="7.0700830904429895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09E-2"/>
                  <c:y val="-1.5325476311581071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Fin!$E$3:$G$3</c:f>
              <c:numCache>
                <c:formatCode>General</c:formatCode>
                <c:ptCount val="3"/>
                <c:pt idx="0">
                  <c:v>2012</c:v>
                </c:pt>
                <c:pt idx="1">
                  <c:v>2013</c:v>
                </c:pt>
                <c:pt idx="2">
                  <c:v>2014</c:v>
                </c:pt>
              </c:numCache>
            </c:numRef>
          </c:cat>
          <c:val>
            <c:numRef>
              <c:f>Fin!$E$7:$G$7</c:f>
              <c:numCache>
                <c:formatCode>_(* #,##0_);_(* \(#,##0\);_(* "-"??_);_(@_)</c:formatCode>
                <c:ptCount val="3"/>
                <c:pt idx="0">
                  <c:v>5283031</c:v>
                </c:pt>
                <c:pt idx="1">
                  <c:v>6005052</c:v>
                </c:pt>
                <c:pt idx="2">
                  <c:v>6244315</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883E-4"/>
                </c:manualLayout>
              </c:layout>
              <c:dLblPos val="outEnd"/>
              <c:showLegendKey val="0"/>
              <c:showVal val="1"/>
              <c:showCatName val="0"/>
              <c:showSerName val="0"/>
              <c:showPercent val="0"/>
              <c:showBubbleSize val="0"/>
            </c:dLbl>
            <c:dLbl>
              <c:idx val="3"/>
              <c:layout>
                <c:manualLayout>
                  <c:x val="2.6841787439616016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Fin!$E$3:$G$3</c:f>
              <c:numCache>
                <c:formatCode>General</c:formatCode>
                <c:ptCount val="3"/>
                <c:pt idx="0">
                  <c:v>2012</c:v>
                </c:pt>
                <c:pt idx="1">
                  <c:v>2013</c:v>
                </c:pt>
                <c:pt idx="2">
                  <c:v>2014</c:v>
                </c:pt>
              </c:numCache>
            </c:numRef>
          </c:cat>
          <c:val>
            <c:numRef>
              <c:f>Fin!$E$6:$G$6</c:f>
              <c:numCache>
                <c:formatCode>_(* #,##0_);_(* \(#,##0\);_(* "-"??_);_(@_)</c:formatCode>
                <c:ptCount val="3"/>
                <c:pt idx="0">
                  <c:v>5659287</c:v>
                </c:pt>
                <c:pt idx="1">
                  <c:v>6529604</c:v>
                </c:pt>
                <c:pt idx="2">
                  <c:v>6339315</c:v>
                </c:pt>
              </c:numCache>
            </c:numRef>
          </c:val>
        </c:ser>
        <c:dLbls>
          <c:showLegendKey val="0"/>
          <c:showVal val="1"/>
          <c:showCatName val="0"/>
          <c:showSerName val="0"/>
          <c:showPercent val="0"/>
          <c:showBubbleSize val="0"/>
        </c:dLbls>
        <c:gapWidth val="150"/>
        <c:axId val="123004928"/>
        <c:axId val="126568704"/>
      </c:barChart>
      <c:catAx>
        <c:axId val="123004928"/>
        <c:scaling>
          <c:orientation val="minMax"/>
        </c:scaling>
        <c:delete val="0"/>
        <c:axPos val="b"/>
        <c:numFmt formatCode="General" sourceLinked="1"/>
        <c:majorTickMark val="none"/>
        <c:minorTickMark val="none"/>
        <c:tickLblPos val="nextTo"/>
        <c:txPr>
          <a:bodyPr rot="0" vert="horz"/>
          <a:lstStyle/>
          <a:p>
            <a:pPr>
              <a:defRPr/>
            </a:pPr>
            <a:endParaRPr lang="en-US"/>
          </a:p>
        </c:txPr>
        <c:crossAx val="126568704"/>
        <c:crosses val="autoZero"/>
        <c:auto val="1"/>
        <c:lblAlgn val="ctr"/>
        <c:lblOffset val="100"/>
        <c:tickLblSkip val="1"/>
        <c:tickMarkSkip val="1"/>
        <c:noMultiLvlLbl val="0"/>
      </c:catAx>
      <c:valAx>
        <c:axId val="126568704"/>
        <c:scaling>
          <c:orientation val="minMax"/>
        </c:scaling>
        <c:delete val="0"/>
        <c:axPos val="l"/>
        <c:numFmt formatCode="_(* #,##0_);_(* \(#,##0\);_(* &quot;-&quot;??_);_(@_)" sourceLinked="1"/>
        <c:majorTickMark val="none"/>
        <c:minorTickMark val="none"/>
        <c:tickLblPos val="none"/>
        <c:crossAx val="12300492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IT!$J$3</c:f>
              <c:strCache>
                <c:ptCount val="1"/>
                <c:pt idx="0">
                  <c:v>2012</c:v>
                </c:pt>
              </c:strCache>
            </c:strRef>
          </c:tx>
          <c:marker>
            <c:symbol val="square"/>
            <c:size val="5"/>
          </c:marker>
          <c:cat>
            <c:strLit>
              <c:ptCount val="4"/>
              <c:pt idx="0">
                <c:v>Q1</c:v>
              </c:pt>
              <c:pt idx="1">
                <c:v> Q2</c:v>
              </c:pt>
              <c:pt idx="2">
                <c:v> Q3</c:v>
              </c:pt>
              <c:pt idx="3">
                <c:v> Year-End</c:v>
              </c:pt>
            </c:strLit>
          </c:cat>
          <c:val>
            <c:numRef>
              <c:f>IT!$J$5:$J$8</c:f>
              <c:numCache>
                <c:formatCode>_(* #,##0_);_(* \(#,##0\);_(* "-"??_);_(@_)</c:formatCode>
                <c:ptCount val="4"/>
                <c:pt idx="1">
                  <c:v>71000</c:v>
                </c:pt>
                <c:pt idx="2">
                  <c:v>68000</c:v>
                </c:pt>
                <c:pt idx="3">
                  <c:v>77607</c:v>
                </c:pt>
              </c:numCache>
            </c:numRef>
          </c:val>
          <c:smooth val="0"/>
        </c:ser>
        <c:ser>
          <c:idx val="0"/>
          <c:order val="1"/>
          <c:tx>
            <c:strRef>
              <c:f>IT!$K$3</c:f>
              <c:strCache>
                <c:ptCount val="1"/>
                <c:pt idx="0">
                  <c:v>2013</c:v>
                </c:pt>
              </c:strCache>
            </c:strRef>
          </c:tx>
          <c:cat>
            <c:strLit>
              <c:ptCount val="4"/>
              <c:pt idx="0">
                <c:v>Q1</c:v>
              </c:pt>
              <c:pt idx="1">
                <c:v> Q2</c:v>
              </c:pt>
              <c:pt idx="2">
                <c:v> Q3</c:v>
              </c:pt>
              <c:pt idx="3">
                <c:v> Year-End</c:v>
              </c:pt>
            </c:strLit>
          </c:cat>
          <c:val>
            <c:numRef>
              <c:f>IT!$K$5:$K$8</c:f>
              <c:numCache>
                <c:formatCode>_(* #,##0_);_(* \(#,##0\);_(* "-"??_);_(@_)</c:formatCode>
                <c:ptCount val="4"/>
                <c:pt idx="1">
                  <c:v>65000</c:v>
                </c:pt>
                <c:pt idx="2">
                  <c:v>45000</c:v>
                </c:pt>
                <c:pt idx="3">
                  <c:v>50812</c:v>
                </c:pt>
              </c:numCache>
            </c:numRef>
          </c:val>
          <c:smooth val="0"/>
        </c:ser>
        <c:ser>
          <c:idx val="1"/>
          <c:order val="2"/>
          <c:tx>
            <c:strRef>
              <c:f>IT!$L$3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IT!$L$5:$L$8</c:f>
              <c:numCache>
                <c:formatCode>_(* #,##0_);_(* \(#,##0\);_(* "-"??_);_(@_)</c:formatCode>
                <c:ptCount val="4"/>
                <c:pt idx="0">
                  <c:v>0</c:v>
                </c:pt>
                <c:pt idx="1">
                  <c:v>43000</c:v>
                </c:pt>
                <c:pt idx="2">
                  <c:v>36000</c:v>
                </c:pt>
              </c:numCache>
            </c:numRef>
          </c:val>
          <c:smooth val="0"/>
        </c:ser>
        <c:dLbls>
          <c:showLegendKey val="0"/>
          <c:showVal val="0"/>
          <c:showCatName val="0"/>
          <c:showSerName val="0"/>
          <c:showPercent val="0"/>
          <c:showBubbleSize val="0"/>
        </c:dLbls>
        <c:marker val="1"/>
        <c:smooth val="0"/>
        <c:axId val="129024000"/>
        <c:axId val="126571584"/>
      </c:lineChart>
      <c:catAx>
        <c:axId val="129024000"/>
        <c:scaling>
          <c:orientation val="minMax"/>
        </c:scaling>
        <c:delete val="0"/>
        <c:axPos val="b"/>
        <c:numFmt formatCode="General" sourceLinked="1"/>
        <c:majorTickMark val="none"/>
        <c:minorTickMark val="none"/>
        <c:tickLblPos val="low"/>
        <c:txPr>
          <a:bodyPr rot="0" vert="horz"/>
          <a:lstStyle/>
          <a:p>
            <a:pPr>
              <a:defRPr/>
            </a:pPr>
            <a:endParaRPr lang="en-US"/>
          </a:p>
        </c:txPr>
        <c:crossAx val="126571584"/>
        <c:crosses val="autoZero"/>
        <c:auto val="1"/>
        <c:lblAlgn val="ctr"/>
        <c:lblOffset val="100"/>
        <c:tickLblSkip val="1"/>
        <c:tickMarkSkip val="1"/>
        <c:noMultiLvlLbl val="0"/>
      </c:catAx>
      <c:valAx>
        <c:axId val="126571584"/>
        <c:scaling>
          <c:orientation val="minMax"/>
        </c:scaling>
        <c:delete val="0"/>
        <c:axPos val="l"/>
        <c:majorGridlines/>
        <c:numFmt formatCode="_(* #,##0_);_(* \(#,##0\);_(* &quot;-&quot;??_);_(@_)" sourceLinked="1"/>
        <c:majorTickMark val="out"/>
        <c:minorTickMark val="none"/>
        <c:tickLblPos val="nextTo"/>
        <c:crossAx val="129024000"/>
        <c:crosses val="autoZero"/>
        <c:crossBetween val="between"/>
        <c:majorUnit val="25000"/>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IT!$E$3:$G$3</c:f>
              <c:numCache>
                <c:formatCode>General</c:formatCode>
                <c:ptCount val="3"/>
                <c:pt idx="0">
                  <c:v>2012</c:v>
                </c:pt>
                <c:pt idx="1">
                  <c:v>2013</c:v>
                </c:pt>
                <c:pt idx="2">
                  <c:v>2014</c:v>
                </c:pt>
              </c:numCache>
            </c:numRef>
          </c:cat>
          <c:val>
            <c:numRef>
              <c:f>IT!$E$7:$G$7</c:f>
              <c:numCache>
                <c:formatCode>_(* #,##0_);_(* \(#,##0\);_(* "-"??_);_(@_)</c:formatCode>
                <c:ptCount val="3"/>
                <c:pt idx="0">
                  <c:v>5050730</c:v>
                </c:pt>
                <c:pt idx="1">
                  <c:v>5272024</c:v>
                </c:pt>
                <c:pt idx="2">
                  <c:v>5718026.2199999997</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IT!$E$3:$G$3</c:f>
              <c:numCache>
                <c:formatCode>General</c:formatCode>
                <c:ptCount val="3"/>
                <c:pt idx="0">
                  <c:v>2012</c:v>
                </c:pt>
                <c:pt idx="1">
                  <c:v>2013</c:v>
                </c:pt>
                <c:pt idx="2">
                  <c:v>2014</c:v>
                </c:pt>
              </c:numCache>
            </c:numRef>
          </c:cat>
          <c:val>
            <c:numRef>
              <c:f>IT!$E$6:$G$6</c:f>
              <c:numCache>
                <c:formatCode>_(* #,##0_);_(* \(#,##0\);_(* "-"??_);_(@_)</c:formatCode>
                <c:ptCount val="3"/>
                <c:pt idx="0">
                  <c:v>5128337</c:v>
                </c:pt>
                <c:pt idx="1">
                  <c:v>5322836</c:v>
                </c:pt>
                <c:pt idx="2">
                  <c:v>5761026.2199999997</c:v>
                </c:pt>
              </c:numCache>
            </c:numRef>
          </c:val>
        </c:ser>
        <c:dLbls>
          <c:showLegendKey val="0"/>
          <c:showVal val="1"/>
          <c:showCatName val="0"/>
          <c:showSerName val="0"/>
          <c:showPercent val="0"/>
          <c:showBubbleSize val="0"/>
        </c:dLbls>
        <c:gapWidth val="150"/>
        <c:axId val="123005952"/>
        <c:axId val="126573888"/>
      </c:barChart>
      <c:catAx>
        <c:axId val="123005952"/>
        <c:scaling>
          <c:orientation val="minMax"/>
        </c:scaling>
        <c:delete val="0"/>
        <c:axPos val="b"/>
        <c:numFmt formatCode="General" sourceLinked="1"/>
        <c:majorTickMark val="none"/>
        <c:minorTickMark val="none"/>
        <c:tickLblPos val="nextTo"/>
        <c:txPr>
          <a:bodyPr rot="0" vert="horz"/>
          <a:lstStyle/>
          <a:p>
            <a:pPr>
              <a:defRPr/>
            </a:pPr>
            <a:endParaRPr lang="en-US"/>
          </a:p>
        </c:txPr>
        <c:crossAx val="126573888"/>
        <c:crosses val="autoZero"/>
        <c:auto val="1"/>
        <c:lblAlgn val="ctr"/>
        <c:lblOffset val="100"/>
        <c:tickLblSkip val="1"/>
        <c:tickMarkSkip val="1"/>
        <c:noMultiLvlLbl val="0"/>
      </c:catAx>
      <c:valAx>
        <c:axId val="126573888"/>
        <c:scaling>
          <c:orientation val="minMax"/>
        </c:scaling>
        <c:delete val="0"/>
        <c:axPos val="l"/>
        <c:numFmt formatCode="_(* #,##0_);_(* \(#,##0\);_(* &quot;-&quot;??_);_(@_)" sourceLinked="1"/>
        <c:majorTickMark val="none"/>
        <c:minorTickMark val="none"/>
        <c:tickLblPos val="none"/>
        <c:crossAx val="12300595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CFA!$J$3</c:f>
              <c:strCache>
                <c:ptCount val="1"/>
                <c:pt idx="0">
                  <c:v>2012</c:v>
                </c:pt>
              </c:strCache>
            </c:strRef>
          </c:tx>
          <c:marker>
            <c:symbol val="square"/>
            <c:size val="5"/>
          </c:marker>
          <c:cat>
            <c:strLit>
              <c:ptCount val="4"/>
              <c:pt idx="0">
                <c:v>Q1</c:v>
              </c:pt>
              <c:pt idx="1">
                <c:v> Q2</c:v>
              </c:pt>
              <c:pt idx="2">
                <c:v> Q3</c:v>
              </c:pt>
              <c:pt idx="3">
                <c:v> Year-End</c:v>
              </c:pt>
            </c:strLit>
          </c:cat>
          <c:val>
            <c:numRef>
              <c:f>CFA!$J$5:$J$8</c:f>
              <c:numCache>
                <c:formatCode>_(* #,##0_);_(* \(#,##0\);_(* "-"??_);_(@_)</c:formatCode>
                <c:ptCount val="4"/>
                <c:pt idx="1">
                  <c:v>1342000</c:v>
                </c:pt>
                <c:pt idx="2">
                  <c:v>1101000</c:v>
                </c:pt>
                <c:pt idx="3">
                  <c:v>-2497114</c:v>
                </c:pt>
              </c:numCache>
            </c:numRef>
          </c:val>
          <c:smooth val="0"/>
        </c:ser>
        <c:ser>
          <c:idx val="0"/>
          <c:order val="1"/>
          <c:tx>
            <c:strRef>
              <c:f>CFA!$K$3</c:f>
              <c:strCache>
                <c:ptCount val="1"/>
                <c:pt idx="0">
                  <c:v>2013</c:v>
                </c:pt>
              </c:strCache>
            </c:strRef>
          </c:tx>
          <c:cat>
            <c:strLit>
              <c:ptCount val="4"/>
              <c:pt idx="0">
                <c:v>Q1</c:v>
              </c:pt>
              <c:pt idx="1">
                <c:v> Q2</c:v>
              </c:pt>
              <c:pt idx="2">
                <c:v> Q3</c:v>
              </c:pt>
              <c:pt idx="3">
                <c:v> Year-End</c:v>
              </c:pt>
            </c:strLit>
          </c:cat>
          <c:val>
            <c:numRef>
              <c:f>CFA!$K$5:$K$8</c:f>
              <c:numCache>
                <c:formatCode>_(* #,##0_);_(* \(#,##0\);_(* "-"??_);_(@_)</c:formatCode>
                <c:ptCount val="4"/>
                <c:pt idx="1">
                  <c:v>1288000</c:v>
                </c:pt>
                <c:pt idx="2">
                  <c:v>1653000</c:v>
                </c:pt>
                <c:pt idx="3">
                  <c:v>1625171</c:v>
                </c:pt>
              </c:numCache>
            </c:numRef>
          </c:val>
          <c:smooth val="0"/>
        </c:ser>
        <c:ser>
          <c:idx val="1"/>
          <c:order val="2"/>
          <c:tx>
            <c:strRef>
              <c:f>CFA!$L$3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CFA!$L$5:$L$8</c:f>
              <c:numCache>
                <c:formatCode>_(* #,##0_);_(* \(#,##0\);_(* "-"??_);_(@_)</c:formatCode>
                <c:ptCount val="4"/>
                <c:pt idx="0">
                  <c:v>-495000</c:v>
                </c:pt>
                <c:pt idx="1">
                  <c:v>-695000</c:v>
                </c:pt>
                <c:pt idx="2">
                  <c:v>-875000</c:v>
                </c:pt>
              </c:numCache>
            </c:numRef>
          </c:val>
          <c:smooth val="0"/>
        </c:ser>
        <c:dLbls>
          <c:showLegendKey val="0"/>
          <c:showVal val="0"/>
          <c:showCatName val="0"/>
          <c:showSerName val="0"/>
          <c:showPercent val="0"/>
          <c:showBubbleSize val="0"/>
        </c:dLbls>
        <c:marker val="1"/>
        <c:smooth val="0"/>
        <c:axId val="123002880"/>
        <c:axId val="129730816"/>
      </c:lineChart>
      <c:catAx>
        <c:axId val="123002880"/>
        <c:scaling>
          <c:orientation val="minMax"/>
        </c:scaling>
        <c:delete val="0"/>
        <c:axPos val="b"/>
        <c:numFmt formatCode="General" sourceLinked="1"/>
        <c:majorTickMark val="none"/>
        <c:minorTickMark val="none"/>
        <c:tickLblPos val="low"/>
        <c:txPr>
          <a:bodyPr rot="0" vert="horz"/>
          <a:lstStyle/>
          <a:p>
            <a:pPr>
              <a:defRPr/>
            </a:pPr>
            <a:endParaRPr lang="en-US"/>
          </a:p>
        </c:txPr>
        <c:crossAx val="129730816"/>
        <c:crosses val="autoZero"/>
        <c:auto val="1"/>
        <c:lblAlgn val="ctr"/>
        <c:lblOffset val="100"/>
        <c:tickLblSkip val="1"/>
        <c:tickMarkSkip val="1"/>
        <c:noMultiLvlLbl val="0"/>
      </c:catAx>
      <c:valAx>
        <c:axId val="129730816"/>
        <c:scaling>
          <c:orientation val="minMax"/>
        </c:scaling>
        <c:delete val="0"/>
        <c:axPos val="l"/>
        <c:majorGridlines/>
        <c:numFmt formatCode="_(* #,##0_);_(* \(#,##0\);_(* &quot;-&quot;??_);_(@_)" sourceLinked="1"/>
        <c:majorTickMark val="out"/>
        <c:minorTickMark val="none"/>
        <c:tickLblPos val="nextTo"/>
        <c:crossAx val="12300288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CFA!$E$3:$G$3</c:f>
              <c:numCache>
                <c:formatCode>General</c:formatCode>
                <c:ptCount val="3"/>
                <c:pt idx="0">
                  <c:v>2012</c:v>
                </c:pt>
                <c:pt idx="1">
                  <c:v>2013</c:v>
                </c:pt>
                <c:pt idx="2">
                  <c:v>2014</c:v>
                </c:pt>
              </c:numCache>
            </c:numRef>
          </c:cat>
          <c:val>
            <c:numRef>
              <c:f>CFA!$E$7:$G$7</c:f>
              <c:numCache>
                <c:formatCode>_(* #,##0_);_(* \(#,##0\);_(* "-"??_);_(@_)</c:formatCode>
                <c:ptCount val="3"/>
                <c:pt idx="0">
                  <c:v>-276026209</c:v>
                </c:pt>
                <c:pt idx="1">
                  <c:v>-280930836</c:v>
                </c:pt>
                <c:pt idx="2">
                  <c:v>-279593197</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1.9296386012498369E-2"/>
                  <c:y val="8.5520265387908391E-3"/>
                </c:manualLayout>
              </c:layout>
              <c:dLblPos val="outEnd"/>
              <c:showLegendKey val="0"/>
              <c:showVal val="1"/>
              <c:showCatName val="0"/>
              <c:showSerName val="0"/>
              <c:showPercent val="0"/>
              <c:showBubbleSize val="0"/>
            </c:dLbl>
            <c:dLbl>
              <c:idx val="2"/>
              <c:layout>
                <c:manualLayout>
                  <c:x val="2.2509575121172652E-2"/>
                  <c:y val="8.891620761817174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CFA!$E$3:$G$3</c:f>
              <c:numCache>
                <c:formatCode>General</c:formatCode>
                <c:ptCount val="3"/>
                <c:pt idx="0">
                  <c:v>2012</c:v>
                </c:pt>
                <c:pt idx="1">
                  <c:v>2013</c:v>
                </c:pt>
                <c:pt idx="2">
                  <c:v>2014</c:v>
                </c:pt>
              </c:numCache>
            </c:numRef>
          </c:cat>
          <c:val>
            <c:numRef>
              <c:f>CFA!$E$6:$G$6</c:f>
              <c:numCache>
                <c:formatCode>_(* #,##0_);_(* \(#,##0\);_(* "-"??_);_(@_)</c:formatCode>
                <c:ptCount val="3"/>
                <c:pt idx="0">
                  <c:v>-278523323</c:v>
                </c:pt>
                <c:pt idx="1">
                  <c:v>-279305665</c:v>
                </c:pt>
                <c:pt idx="2">
                  <c:v>-280288197</c:v>
                </c:pt>
              </c:numCache>
            </c:numRef>
          </c:val>
        </c:ser>
        <c:dLbls>
          <c:showLegendKey val="0"/>
          <c:showVal val="1"/>
          <c:showCatName val="0"/>
          <c:showSerName val="0"/>
          <c:showPercent val="0"/>
          <c:showBubbleSize val="0"/>
        </c:dLbls>
        <c:gapWidth val="150"/>
        <c:axId val="98754560"/>
        <c:axId val="129733120"/>
      </c:barChart>
      <c:catAx>
        <c:axId val="98754560"/>
        <c:scaling>
          <c:orientation val="minMax"/>
        </c:scaling>
        <c:delete val="0"/>
        <c:axPos val="b"/>
        <c:numFmt formatCode="General" sourceLinked="1"/>
        <c:majorTickMark val="none"/>
        <c:minorTickMark val="none"/>
        <c:tickLblPos val="low"/>
        <c:txPr>
          <a:bodyPr rot="0" vert="horz"/>
          <a:lstStyle/>
          <a:p>
            <a:pPr>
              <a:defRPr/>
            </a:pPr>
            <a:endParaRPr lang="en-US"/>
          </a:p>
        </c:txPr>
        <c:crossAx val="129733120"/>
        <c:crosses val="autoZero"/>
        <c:auto val="1"/>
        <c:lblAlgn val="ctr"/>
        <c:lblOffset val="100"/>
        <c:tickLblSkip val="1"/>
        <c:tickMarkSkip val="1"/>
        <c:noMultiLvlLbl val="0"/>
      </c:catAx>
      <c:valAx>
        <c:axId val="129733120"/>
        <c:scaling>
          <c:orientation val="minMax"/>
        </c:scaling>
        <c:delete val="0"/>
        <c:axPos val="l"/>
        <c:numFmt formatCode="_(* #,##0_);_(* \(#,##0\);_(* &quot;-&quot;??_);_(@_)" sourceLinked="1"/>
        <c:majorTickMark val="none"/>
        <c:minorTickMark val="none"/>
        <c:tickLblPos val="none"/>
        <c:crossAx val="9875456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CS!$J$3</c:f>
              <c:strCache>
                <c:ptCount val="1"/>
                <c:pt idx="0">
                  <c:v>2012</c:v>
                </c:pt>
              </c:strCache>
            </c:strRef>
          </c:tx>
          <c:marker>
            <c:symbol val="square"/>
            <c:size val="5"/>
          </c:marker>
          <c:cat>
            <c:strLit>
              <c:ptCount val="4"/>
              <c:pt idx="0">
                <c:v>Q1</c:v>
              </c:pt>
              <c:pt idx="1">
                <c:v> Q2</c:v>
              </c:pt>
              <c:pt idx="2">
                <c:v> Q3</c:v>
              </c:pt>
              <c:pt idx="3">
                <c:v> Year-End</c:v>
              </c:pt>
            </c:strLit>
          </c:cat>
          <c:val>
            <c:numRef>
              <c:f>CS!$J$5:$J$8</c:f>
              <c:numCache>
                <c:formatCode>_(* #,##0_);_(* \(#,##0\);_(* "-"??_);_(@_)</c:formatCode>
                <c:ptCount val="4"/>
                <c:pt idx="1">
                  <c:v>372000</c:v>
                </c:pt>
                <c:pt idx="2">
                  <c:v>613000</c:v>
                </c:pt>
                <c:pt idx="3">
                  <c:v>424874</c:v>
                </c:pt>
              </c:numCache>
            </c:numRef>
          </c:val>
          <c:smooth val="0"/>
        </c:ser>
        <c:ser>
          <c:idx val="0"/>
          <c:order val="1"/>
          <c:tx>
            <c:strRef>
              <c:f>CS!$K$3</c:f>
              <c:strCache>
                <c:ptCount val="1"/>
                <c:pt idx="0">
                  <c:v>2013</c:v>
                </c:pt>
              </c:strCache>
            </c:strRef>
          </c:tx>
          <c:cat>
            <c:strLit>
              <c:ptCount val="4"/>
              <c:pt idx="0">
                <c:v>Q1</c:v>
              </c:pt>
              <c:pt idx="1">
                <c:v> Q2</c:v>
              </c:pt>
              <c:pt idx="2">
                <c:v> Q3</c:v>
              </c:pt>
              <c:pt idx="3">
                <c:v> Year-End</c:v>
              </c:pt>
            </c:strLit>
          </c:cat>
          <c:val>
            <c:numRef>
              <c:f>CS!$K$5:$K$8</c:f>
              <c:numCache>
                <c:formatCode>_(* #,##0_);_(* \(#,##0\);_(* "-"??_);_(@_)</c:formatCode>
                <c:ptCount val="4"/>
                <c:pt idx="1">
                  <c:v>-206500</c:v>
                </c:pt>
                <c:pt idx="2">
                  <c:v>-168500</c:v>
                </c:pt>
                <c:pt idx="3">
                  <c:v>-201990</c:v>
                </c:pt>
              </c:numCache>
            </c:numRef>
          </c:val>
          <c:smooth val="0"/>
        </c:ser>
        <c:ser>
          <c:idx val="1"/>
          <c:order val="2"/>
          <c:tx>
            <c:strRef>
              <c:f>CS!$L$3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CS!$L$5:$L$8</c:f>
              <c:numCache>
                <c:formatCode>_(* #,##0_);_(* \(#,##0\);_(* "-"??_);_(@_)</c:formatCode>
                <c:ptCount val="4"/>
                <c:pt idx="0">
                  <c:v>0</c:v>
                </c:pt>
                <c:pt idx="1">
                  <c:v>35000</c:v>
                </c:pt>
                <c:pt idx="2">
                  <c:v>145000</c:v>
                </c:pt>
              </c:numCache>
            </c:numRef>
          </c:val>
          <c:smooth val="0"/>
        </c:ser>
        <c:dLbls>
          <c:showLegendKey val="0"/>
          <c:showVal val="0"/>
          <c:showCatName val="0"/>
          <c:showSerName val="0"/>
          <c:showPercent val="0"/>
          <c:showBubbleSize val="0"/>
        </c:dLbls>
        <c:marker val="1"/>
        <c:smooth val="0"/>
        <c:axId val="98756608"/>
        <c:axId val="129736000"/>
      </c:lineChart>
      <c:catAx>
        <c:axId val="98756608"/>
        <c:scaling>
          <c:orientation val="minMax"/>
        </c:scaling>
        <c:delete val="0"/>
        <c:axPos val="b"/>
        <c:numFmt formatCode="General" sourceLinked="1"/>
        <c:majorTickMark val="none"/>
        <c:minorTickMark val="none"/>
        <c:tickLblPos val="low"/>
        <c:txPr>
          <a:bodyPr rot="0" vert="horz"/>
          <a:lstStyle/>
          <a:p>
            <a:pPr>
              <a:defRPr/>
            </a:pPr>
            <a:endParaRPr lang="en-US"/>
          </a:p>
        </c:txPr>
        <c:crossAx val="129736000"/>
        <c:crosses val="autoZero"/>
        <c:auto val="1"/>
        <c:lblAlgn val="ctr"/>
        <c:lblOffset val="100"/>
        <c:tickLblSkip val="1"/>
        <c:tickMarkSkip val="1"/>
        <c:noMultiLvlLbl val="0"/>
      </c:catAx>
      <c:valAx>
        <c:axId val="129736000"/>
        <c:scaling>
          <c:orientation val="minMax"/>
        </c:scaling>
        <c:delete val="0"/>
        <c:axPos val="l"/>
        <c:majorGridlines/>
        <c:numFmt formatCode="_(* #,##0_);_(* \(#,##0\);_(* &quot;-&quot;??_);_(@_)" sourceLinked="1"/>
        <c:majorTickMark val="out"/>
        <c:minorTickMark val="none"/>
        <c:tickLblPos val="nextTo"/>
        <c:crossAx val="98756608"/>
        <c:crosses val="autoZero"/>
        <c:crossBetween val="between"/>
        <c:majorUnit val="250000"/>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CS!$E$3:$G$3</c:f>
              <c:numCache>
                <c:formatCode>General</c:formatCode>
                <c:ptCount val="3"/>
                <c:pt idx="0">
                  <c:v>2012</c:v>
                </c:pt>
                <c:pt idx="1">
                  <c:v>2013</c:v>
                </c:pt>
                <c:pt idx="2">
                  <c:v>2014</c:v>
                </c:pt>
              </c:numCache>
            </c:numRef>
          </c:cat>
          <c:val>
            <c:numRef>
              <c:f>CS!$E$7:$G$7</c:f>
              <c:numCache>
                <c:formatCode>_(* #,##0_);_(* \(#,##0\);_(* "-"??_);_(@_)</c:formatCode>
                <c:ptCount val="3"/>
                <c:pt idx="0">
                  <c:v>2763232</c:v>
                </c:pt>
                <c:pt idx="1">
                  <c:v>3645467</c:v>
                </c:pt>
                <c:pt idx="2">
                  <c:v>4715771</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CS!$E$3:$G$3</c:f>
              <c:numCache>
                <c:formatCode>General</c:formatCode>
                <c:ptCount val="3"/>
                <c:pt idx="0">
                  <c:v>2012</c:v>
                </c:pt>
                <c:pt idx="1">
                  <c:v>2013</c:v>
                </c:pt>
                <c:pt idx="2">
                  <c:v>2014</c:v>
                </c:pt>
              </c:numCache>
            </c:numRef>
          </c:cat>
          <c:val>
            <c:numRef>
              <c:f>CS!$E$6:$G$6</c:f>
              <c:numCache>
                <c:formatCode>_(* #,##0_);_(* \(#,##0\);_(* "-"??_);_(@_)</c:formatCode>
                <c:ptCount val="3"/>
                <c:pt idx="0">
                  <c:v>3188106</c:v>
                </c:pt>
                <c:pt idx="1">
                  <c:v>3443477</c:v>
                </c:pt>
                <c:pt idx="2">
                  <c:v>4750771</c:v>
                </c:pt>
              </c:numCache>
            </c:numRef>
          </c:val>
        </c:ser>
        <c:dLbls>
          <c:showLegendKey val="0"/>
          <c:showVal val="1"/>
          <c:showCatName val="0"/>
          <c:showSerName val="0"/>
          <c:showPercent val="0"/>
          <c:showBubbleSize val="0"/>
        </c:dLbls>
        <c:gapWidth val="150"/>
        <c:axId val="129026048"/>
        <c:axId val="131786432"/>
      </c:barChart>
      <c:catAx>
        <c:axId val="129026048"/>
        <c:scaling>
          <c:orientation val="minMax"/>
        </c:scaling>
        <c:delete val="0"/>
        <c:axPos val="b"/>
        <c:numFmt formatCode="General" sourceLinked="1"/>
        <c:majorTickMark val="none"/>
        <c:minorTickMark val="none"/>
        <c:tickLblPos val="nextTo"/>
        <c:txPr>
          <a:bodyPr rot="0" vert="horz"/>
          <a:lstStyle/>
          <a:p>
            <a:pPr>
              <a:defRPr/>
            </a:pPr>
            <a:endParaRPr lang="en-US"/>
          </a:p>
        </c:txPr>
        <c:crossAx val="131786432"/>
        <c:crosses val="autoZero"/>
        <c:auto val="1"/>
        <c:lblAlgn val="ctr"/>
        <c:lblOffset val="100"/>
        <c:tickLblSkip val="1"/>
        <c:tickMarkSkip val="1"/>
        <c:noMultiLvlLbl val="0"/>
      </c:catAx>
      <c:valAx>
        <c:axId val="131786432"/>
        <c:scaling>
          <c:orientation val="minMax"/>
        </c:scaling>
        <c:delete val="0"/>
        <c:axPos val="l"/>
        <c:numFmt formatCode="_(* #,##0_);_(* \(#,##0\);_(* &quot;-&quot;??_);_(@_)" sourceLinked="1"/>
        <c:majorTickMark val="none"/>
        <c:minorTickMark val="none"/>
        <c:tickLblPos val="none"/>
        <c:crossAx val="12902604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HR!$J$3</c:f>
              <c:strCache>
                <c:ptCount val="1"/>
                <c:pt idx="0">
                  <c:v>2012</c:v>
                </c:pt>
              </c:strCache>
            </c:strRef>
          </c:tx>
          <c:marker>
            <c:symbol val="square"/>
            <c:size val="5"/>
          </c:marker>
          <c:cat>
            <c:strLit>
              <c:ptCount val="4"/>
              <c:pt idx="0">
                <c:v>Q1</c:v>
              </c:pt>
              <c:pt idx="1">
                <c:v> Q2</c:v>
              </c:pt>
              <c:pt idx="2">
                <c:v> Q3</c:v>
              </c:pt>
              <c:pt idx="3">
                <c:v> Year-End</c:v>
              </c:pt>
            </c:strLit>
          </c:cat>
          <c:val>
            <c:numRef>
              <c:f>HR!$J$5:$J$8</c:f>
              <c:numCache>
                <c:formatCode>_(* #,##0_);_(* \(#,##0\);_(* "-"??_);_(@_)</c:formatCode>
                <c:ptCount val="4"/>
                <c:pt idx="1">
                  <c:v>0</c:v>
                </c:pt>
                <c:pt idx="2">
                  <c:v>43000</c:v>
                </c:pt>
                <c:pt idx="3">
                  <c:v>129390</c:v>
                </c:pt>
              </c:numCache>
            </c:numRef>
          </c:val>
          <c:smooth val="0"/>
        </c:ser>
        <c:ser>
          <c:idx val="0"/>
          <c:order val="1"/>
          <c:tx>
            <c:strRef>
              <c:f>HR!$K$3</c:f>
              <c:strCache>
                <c:ptCount val="1"/>
                <c:pt idx="0">
                  <c:v>2013</c:v>
                </c:pt>
              </c:strCache>
            </c:strRef>
          </c:tx>
          <c:cat>
            <c:strLit>
              <c:ptCount val="4"/>
              <c:pt idx="0">
                <c:v>Q1</c:v>
              </c:pt>
              <c:pt idx="1">
                <c:v> Q2</c:v>
              </c:pt>
              <c:pt idx="2">
                <c:v> Q3</c:v>
              </c:pt>
              <c:pt idx="3">
                <c:v> Year-End</c:v>
              </c:pt>
            </c:strLit>
          </c:cat>
          <c:val>
            <c:numRef>
              <c:f>HR!$K$5:$K$8</c:f>
              <c:numCache>
                <c:formatCode>_(* #,##0_);_(* \(#,##0\);_(* "-"??_);_(@_)</c:formatCode>
                <c:ptCount val="4"/>
                <c:pt idx="1">
                  <c:v>33000</c:v>
                </c:pt>
                <c:pt idx="2">
                  <c:v>55000</c:v>
                </c:pt>
                <c:pt idx="3">
                  <c:v>139544</c:v>
                </c:pt>
              </c:numCache>
            </c:numRef>
          </c:val>
          <c:smooth val="0"/>
        </c:ser>
        <c:ser>
          <c:idx val="1"/>
          <c:order val="2"/>
          <c:tx>
            <c:strRef>
              <c:f>HR!$L$3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HR!$L$5:$L$8</c:f>
              <c:numCache>
                <c:formatCode>_(* #,##0_);_(* \(#,##0\);_(* "-"??_);_(@_)</c:formatCode>
                <c:ptCount val="4"/>
                <c:pt idx="0">
                  <c:v>0</c:v>
                </c:pt>
                <c:pt idx="1">
                  <c:v>0</c:v>
                </c:pt>
                <c:pt idx="2">
                  <c:v>0</c:v>
                </c:pt>
              </c:numCache>
            </c:numRef>
          </c:val>
          <c:smooth val="0"/>
        </c:ser>
        <c:dLbls>
          <c:showLegendKey val="0"/>
          <c:showVal val="0"/>
          <c:showCatName val="0"/>
          <c:showSerName val="0"/>
          <c:showPercent val="0"/>
          <c:showBubbleSize val="0"/>
        </c:dLbls>
        <c:marker val="1"/>
        <c:smooth val="0"/>
        <c:axId val="98755584"/>
        <c:axId val="131789312"/>
      </c:lineChart>
      <c:catAx>
        <c:axId val="98755584"/>
        <c:scaling>
          <c:orientation val="minMax"/>
        </c:scaling>
        <c:delete val="0"/>
        <c:axPos val="b"/>
        <c:numFmt formatCode="General" sourceLinked="1"/>
        <c:majorTickMark val="none"/>
        <c:minorTickMark val="none"/>
        <c:tickLblPos val="low"/>
        <c:txPr>
          <a:bodyPr rot="0" vert="horz"/>
          <a:lstStyle/>
          <a:p>
            <a:pPr>
              <a:defRPr/>
            </a:pPr>
            <a:endParaRPr lang="en-US"/>
          </a:p>
        </c:txPr>
        <c:crossAx val="131789312"/>
        <c:crosses val="autoZero"/>
        <c:auto val="1"/>
        <c:lblAlgn val="ctr"/>
        <c:lblOffset val="100"/>
        <c:tickLblSkip val="1"/>
        <c:tickMarkSkip val="1"/>
        <c:noMultiLvlLbl val="0"/>
      </c:catAx>
      <c:valAx>
        <c:axId val="131789312"/>
        <c:scaling>
          <c:orientation val="minMax"/>
        </c:scaling>
        <c:delete val="0"/>
        <c:axPos val="l"/>
        <c:majorGridlines/>
        <c:numFmt formatCode="_(* #,##0_);_(* \(#,##0\);_(* &quot;-&quot;??_);_(@_)" sourceLinked="1"/>
        <c:majorTickMark val="out"/>
        <c:minorTickMark val="none"/>
        <c:tickLblPos val="nextTo"/>
        <c:crossAx val="9875558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layout/>
      <c:overlay val="0"/>
    </c:title>
    <c:autoTitleDeleted val="0"/>
    <c:plotArea>
      <c:layout/>
      <c:barChart>
        <c:barDir val="col"/>
        <c:grouping val="clustered"/>
        <c:varyColors val="0"/>
        <c:ser>
          <c:idx val="2"/>
          <c:order val="0"/>
          <c:tx>
            <c:v>Actuals</c:v>
          </c:tx>
          <c:invertIfNegative val="0"/>
          <c:dLbls>
            <c:dLbl>
              <c:idx val="0"/>
              <c:layout>
                <c:manualLayout>
                  <c:x val="-7.6690821256042577E-3"/>
                  <c:y val="0"/>
                </c:manualLayout>
              </c:layout>
              <c:dLblPos val="outEnd"/>
              <c:showLegendKey val="0"/>
              <c:showVal val="1"/>
              <c:showCatName val="0"/>
              <c:showSerName val="0"/>
              <c:showPercent val="0"/>
              <c:showBubbleSize val="0"/>
            </c:dLbl>
            <c:dLbl>
              <c:idx val="1"/>
              <c:layout>
                <c:manualLayout>
                  <c:x val="-6.3212202963108524E-3"/>
                  <c:y val="7.0700830904429756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343E-2"/>
                  <c:y val="-1.5325476311581045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Myr!$E$3:$G$3</c:f>
              <c:numCache>
                <c:formatCode>General</c:formatCode>
                <c:ptCount val="3"/>
                <c:pt idx="0">
                  <c:v>2012</c:v>
                </c:pt>
                <c:pt idx="1">
                  <c:v>2013</c:v>
                </c:pt>
                <c:pt idx="2">
                  <c:v>2014</c:v>
                </c:pt>
              </c:numCache>
            </c:numRef>
          </c:cat>
          <c:val>
            <c:numRef>
              <c:f>Myr!$E$7:$G$7</c:f>
              <c:numCache>
                <c:formatCode>_(* #,##0_);_(* \(#,##0\);_(* "-"??_);_(@_)</c:formatCode>
                <c:ptCount val="3"/>
                <c:pt idx="0">
                  <c:v>464481</c:v>
                </c:pt>
                <c:pt idx="1">
                  <c:v>438179</c:v>
                </c:pt>
                <c:pt idx="2">
                  <c:v>438316.02</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655E-4"/>
                </c:manualLayout>
              </c:layout>
              <c:dLblPos val="outEnd"/>
              <c:showLegendKey val="0"/>
              <c:showVal val="1"/>
              <c:showCatName val="0"/>
              <c:showSerName val="0"/>
              <c:showPercent val="0"/>
              <c:showBubbleSize val="0"/>
            </c:dLbl>
            <c:dLbl>
              <c:idx val="3"/>
              <c:layout>
                <c:manualLayout>
                  <c:x val="2.684178743961593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Myr!$E$3:$G$3</c:f>
              <c:numCache>
                <c:formatCode>General</c:formatCode>
                <c:ptCount val="3"/>
                <c:pt idx="0">
                  <c:v>2012</c:v>
                </c:pt>
                <c:pt idx="1">
                  <c:v>2013</c:v>
                </c:pt>
                <c:pt idx="2">
                  <c:v>2014</c:v>
                </c:pt>
              </c:numCache>
            </c:numRef>
          </c:cat>
          <c:val>
            <c:numRef>
              <c:f>Myr!$E$6:$G$6</c:f>
              <c:numCache>
                <c:formatCode>_(* #,##0_);_(* \(#,##0\);_(* "-"??_);_(@_)</c:formatCode>
                <c:ptCount val="3"/>
                <c:pt idx="0">
                  <c:v>464481</c:v>
                </c:pt>
                <c:pt idx="1">
                  <c:v>438179</c:v>
                </c:pt>
                <c:pt idx="2">
                  <c:v>438316.02</c:v>
                </c:pt>
              </c:numCache>
            </c:numRef>
          </c:val>
        </c:ser>
        <c:dLbls>
          <c:showLegendKey val="0"/>
          <c:showVal val="1"/>
          <c:showCatName val="0"/>
          <c:showSerName val="0"/>
          <c:showPercent val="0"/>
          <c:showBubbleSize val="0"/>
        </c:dLbls>
        <c:gapWidth val="150"/>
        <c:axId val="98158080"/>
        <c:axId val="74983104"/>
      </c:barChart>
      <c:catAx>
        <c:axId val="98158080"/>
        <c:scaling>
          <c:orientation val="minMax"/>
        </c:scaling>
        <c:delete val="0"/>
        <c:axPos val="b"/>
        <c:numFmt formatCode="General" sourceLinked="1"/>
        <c:majorTickMark val="none"/>
        <c:minorTickMark val="none"/>
        <c:tickLblPos val="nextTo"/>
        <c:txPr>
          <a:bodyPr rot="0" vert="horz"/>
          <a:lstStyle/>
          <a:p>
            <a:pPr>
              <a:defRPr/>
            </a:pPr>
            <a:endParaRPr lang="en-US"/>
          </a:p>
        </c:txPr>
        <c:crossAx val="74983104"/>
        <c:crosses val="autoZero"/>
        <c:auto val="1"/>
        <c:lblAlgn val="ctr"/>
        <c:lblOffset val="100"/>
        <c:tickLblSkip val="1"/>
        <c:tickMarkSkip val="1"/>
        <c:noMultiLvlLbl val="0"/>
      </c:catAx>
      <c:valAx>
        <c:axId val="74983104"/>
        <c:scaling>
          <c:orientation val="minMax"/>
        </c:scaling>
        <c:delete val="0"/>
        <c:axPos val="l"/>
        <c:numFmt formatCode="_(* #,##0_);_(* \(#,##0\);_(* &quot;-&quot;??_);_(@_)" sourceLinked="1"/>
        <c:majorTickMark val="none"/>
        <c:minorTickMark val="none"/>
        <c:tickLblPos val="none"/>
        <c:crossAx val="98158080"/>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HR!$E$3:$G$3</c:f>
              <c:numCache>
                <c:formatCode>General</c:formatCode>
                <c:ptCount val="3"/>
                <c:pt idx="0">
                  <c:v>2012</c:v>
                </c:pt>
                <c:pt idx="1">
                  <c:v>2013</c:v>
                </c:pt>
                <c:pt idx="2">
                  <c:v>2014</c:v>
                </c:pt>
              </c:numCache>
            </c:numRef>
          </c:cat>
          <c:val>
            <c:numRef>
              <c:f>HR!$E$7:$G$7</c:f>
              <c:numCache>
                <c:formatCode>_(* #,##0_);_(* \(#,##0\);_(* "-"??_);_(@_)</c:formatCode>
                <c:ptCount val="3"/>
                <c:pt idx="0">
                  <c:v>3436528</c:v>
                </c:pt>
                <c:pt idx="1">
                  <c:v>3582934</c:v>
                </c:pt>
                <c:pt idx="2">
                  <c:v>3693810.41</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HR!$E$3:$G$3</c:f>
              <c:numCache>
                <c:formatCode>General</c:formatCode>
                <c:ptCount val="3"/>
                <c:pt idx="0">
                  <c:v>2012</c:v>
                </c:pt>
                <c:pt idx="1">
                  <c:v>2013</c:v>
                </c:pt>
                <c:pt idx="2">
                  <c:v>2014</c:v>
                </c:pt>
              </c:numCache>
            </c:numRef>
          </c:cat>
          <c:val>
            <c:numRef>
              <c:f>HR!$E$6:$G$6</c:f>
              <c:numCache>
                <c:formatCode>_(* #,##0_);_(* \(#,##0\);_(* "-"??_);_(@_)</c:formatCode>
                <c:ptCount val="3"/>
                <c:pt idx="0">
                  <c:v>3565918</c:v>
                </c:pt>
                <c:pt idx="1">
                  <c:v>3722478</c:v>
                </c:pt>
                <c:pt idx="2">
                  <c:v>3693810.41</c:v>
                </c:pt>
              </c:numCache>
            </c:numRef>
          </c:val>
        </c:ser>
        <c:dLbls>
          <c:showLegendKey val="0"/>
          <c:showVal val="1"/>
          <c:showCatName val="0"/>
          <c:showSerName val="0"/>
          <c:showPercent val="0"/>
          <c:showBubbleSize val="0"/>
        </c:dLbls>
        <c:gapWidth val="150"/>
        <c:axId val="131577856"/>
        <c:axId val="131791616"/>
      </c:barChart>
      <c:catAx>
        <c:axId val="131577856"/>
        <c:scaling>
          <c:orientation val="minMax"/>
        </c:scaling>
        <c:delete val="0"/>
        <c:axPos val="b"/>
        <c:numFmt formatCode="General" sourceLinked="1"/>
        <c:majorTickMark val="none"/>
        <c:minorTickMark val="none"/>
        <c:tickLblPos val="nextTo"/>
        <c:txPr>
          <a:bodyPr rot="0" vert="horz"/>
          <a:lstStyle/>
          <a:p>
            <a:pPr>
              <a:defRPr/>
            </a:pPr>
            <a:endParaRPr lang="en-US"/>
          </a:p>
        </c:txPr>
        <c:crossAx val="131791616"/>
        <c:crosses val="autoZero"/>
        <c:auto val="1"/>
        <c:lblAlgn val="ctr"/>
        <c:lblOffset val="100"/>
        <c:tickLblSkip val="1"/>
        <c:tickMarkSkip val="1"/>
        <c:noMultiLvlLbl val="0"/>
      </c:catAx>
      <c:valAx>
        <c:axId val="131791616"/>
        <c:scaling>
          <c:orientation val="minMax"/>
        </c:scaling>
        <c:delete val="0"/>
        <c:axPos val="l"/>
        <c:numFmt formatCode="_(* #,##0_);_(* \(#,##0\);_(* &quot;-&quot;??_);_(@_)" sourceLinked="1"/>
        <c:majorTickMark val="none"/>
        <c:minorTickMark val="none"/>
        <c:tickLblPos val="none"/>
        <c:crossAx val="13157785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CHR!$J$3</c:f>
              <c:strCache>
                <c:ptCount val="1"/>
                <c:pt idx="0">
                  <c:v>2012</c:v>
                </c:pt>
              </c:strCache>
            </c:strRef>
          </c:tx>
          <c:marker>
            <c:symbol val="square"/>
            <c:size val="5"/>
          </c:marker>
          <c:cat>
            <c:strLit>
              <c:ptCount val="4"/>
              <c:pt idx="0">
                <c:v>Q1</c:v>
              </c:pt>
              <c:pt idx="1">
                <c:v> Q2</c:v>
              </c:pt>
              <c:pt idx="2">
                <c:v> Q3</c:v>
              </c:pt>
              <c:pt idx="3">
                <c:v> Year-End</c:v>
              </c:pt>
            </c:strLit>
          </c:cat>
          <c:val>
            <c:numRef>
              <c:f>CHR!$J$5:$J$8</c:f>
              <c:numCache>
                <c:formatCode>_(* #,##0_);_(* \(#,##0\);_(* "-"??_);_(@_)</c:formatCode>
                <c:ptCount val="4"/>
                <c:pt idx="1">
                  <c:v>-120000</c:v>
                </c:pt>
                <c:pt idx="2">
                  <c:v>-300000</c:v>
                </c:pt>
                <c:pt idx="3">
                  <c:v>233384</c:v>
                </c:pt>
              </c:numCache>
            </c:numRef>
          </c:val>
          <c:smooth val="0"/>
        </c:ser>
        <c:ser>
          <c:idx val="0"/>
          <c:order val="1"/>
          <c:tx>
            <c:strRef>
              <c:f>CHR!$K$3</c:f>
              <c:strCache>
                <c:ptCount val="1"/>
                <c:pt idx="0">
                  <c:v>2013</c:v>
                </c:pt>
              </c:strCache>
            </c:strRef>
          </c:tx>
          <c:cat>
            <c:strLit>
              <c:ptCount val="4"/>
              <c:pt idx="0">
                <c:v>Q1</c:v>
              </c:pt>
              <c:pt idx="1">
                <c:v> Q2</c:v>
              </c:pt>
              <c:pt idx="2">
                <c:v> Q3</c:v>
              </c:pt>
              <c:pt idx="3">
                <c:v> Year-End</c:v>
              </c:pt>
            </c:strLit>
          </c:cat>
          <c:val>
            <c:numRef>
              <c:f>CHR!$K$5:$K$8</c:f>
              <c:numCache>
                <c:formatCode>_(* #,##0_);_(* \(#,##0\);_(* "-"??_);_(@_)</c:formatCode>
                <c:ptCount val="4"/>
                <c:pt idx="1">
                  <c:v>0</c:v>
                </c:pt>
                <c:pt idx="2">
                  <c:v>0</c:v>
                </c:pt>
                <c:pt idx="3">
                  <c:v>-345932</c:v>
                </c:pt>
              </c:numCache>
            </c:numRef>
          </c:val>
          <c:smooth val="0"/>
        </c:ser>
        <c:ser>
          <c:idx val="1"/>
          <c:order val="2"/>
          <c:tx>
            <c:strRef>
              <c:f>CHR!$L$3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CHR!$L$5:$L$8</c:f>
              <c:numCache>
                <c:formatCode>_(* #,##0_);_(* \(#,##0\);_(* "-"??_);_(@_)</c:formatCode>
                <c:ptCount val="4"/>
                <c:pt idx="0">
                  <c:v>0</c:v>
                </c:pt>
                <c:pt idx="1">
                  <c:v>100000</c:v>
                </c:pt>
                <c:pt idx="2">
                  <c:v>704000</c:v>
                </c:pt>
              </c:numCache>
            </c:numRef>
          </c:val>
          <c:smooth val="0"/>
        </c:ser>
        <c:dLbls>
          <c:showLegendKey val="0"/>
          <c:showVal val="0"/>
          <c:showCatName val="0"/>
          <c:showSerName val="0"/>
          <c:showPercent val="0"/>
          <c:showBubbleSize val="0"/>
        </c:dLbls>
        <c:marker val="1"/>
        <c:smooth val="0"/>
        <c:axId val="133101056"/>
        <c:axId val="132761280"/>
      </c:lineChart>
      <c:catAx>
        <c:axId val="133101056"/>
        <c:scaling>
          <c:orientation val="minMax"/>
        </c:scaling>
        <c:delete val="0"/>
        <c:axPos val="b"/>
        <c:numFmt formatCode="General" sourceLinked="1"/>
        <c:majorTickMark val="none"/>
        <c:minorTickMark val="none"/>
        <c:tickLblPos val="low"/>
        <c:txPr>
          <a:bodyPr rot="0" vert="horz"/>
          <a:lstStyle/>
          <a:p>
            <a:pPr>
              <a:defRPr/>
            </a:pPr>
            <a:endParaRPr lang="en-US"/>
          </a:p>
        </c:txPr>
        <c:crossAx val="132761280"/>
        <c:crosses val="autoZero"/>
        <c:auto val="1"/>
        <c:lblAlgn val="ctr"/>
        <c:lblOffset val="100"/>
        <c:tickLblSkip val="1"/>
        <c:tickMarkSkip val="1"/>
        <c:noMultiLvlLbl val="0"/>
      </c:catAx>
      <c:valAx>
        <c:axId val="132761280"/>
        <c:scaling>
          <c:orientation val="minMax"/>
        </c:scaling>
        <c:delete val="0"/>
        <c:axPos val="l"/>
        <c:majorGridlines/>
        <c:numFmt formatCode="_(* #,##0_);_(* \(#,##0\);_(* &quot;-&quot;??_);_(@_)" sourceLinked="1"/>
        <c:majorTickMark val="out"/>
        <c:minorTickMark val="none"/>
        <c:tickLblPos val="nextTo"/>
        <c:crossAx val="13310105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77E-3"/>
                  <c:y val="0"/>
                </c:manualLayout>
              </c:layout>
              <c:dLblPos val="outEnd"/>
              <c:showLegendKey val="0"/>
              <c:showVal val="1"/>
              <c:showCatName val="0"/>
              <c:showSerName val="0"/>
              <c:showPercent val="0"/>
              <c:showBubbleSize val="0"/>
            </c:dLbl>
            <c:dLbl>
              <c:idx val="1"/>
              <c:layout>
                <c:manualLayout>
                  <c:x val="-6.3212202963108524E-3"/>
                  <c:y val="7.0700830904429938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33E-2"/>
                  <c:y val="-1.5325476311581085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CHR!$E$3:$G$3</c:f>
              <c:numCache>
                <c:formatCode>General</c:formatCode>
                <c:ptCount val="3"/>
                <c:pt idx="0">
                  <c:v>2012</c:v>
                </c:pt>
                <c:pt idx="1">
                  <c:v>2013</c:v>
                </c:pt>
                <c:pt idx="2">
                  <c:v>2014</c:v>
                </c:pt>
              </c:numCache>
            </c:numRef>
          </c:cat>
          <c:val>
            <c:numRef>
              <c:f>CHR!$E$7:$G$7</c:f>
              <c:numCache>
                <c:formatCode>_(* #,##0_);_(* \(#,##0\);_(* "-"??_);_(@_)</c:formatCode>
                <c:ptCount val="3"/>
                <c:pt idx="0">
                  <c:v>1544628</c:v>
                </c:pt>
                <c:pt idx="1">
                  <c:v>-5389443</c:v>
                </c:pt>
                <c:pt idx="2">
                  <c:v>-6372470</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1.9296386012498369E-2"/>
                  <c:y val="8.552026538790846E-3"/>
                </c:manualLayout>
              </c:layout>
              <c:dLblPos val="outEnd"/>
              <c:showLegendKey val="0"/>
              <c:showVal val="1"/>
              <c:showCatName val="0"/>
              <c:showSerName val="0"/>
              <c:showPercent val="0"/>
              <c:showBubbleSize val="0"/>
            </c:dLbl>
            <c:dLbl>
              <c:idx val="2"/>
              <c:layout>
                <c:manualLayout>
                  <c:x val="2.2509575121172652E-2"/>
                  <c:y val="8.8916207618171749E-4"/>
                </c:manualLayout>
              </c:layout>
              <c:dLblPos val="outEnd"/>
              <c:showLegendKey val="0"/>
              <c:showVal val="1"/>
              <c:showCatName val="0"/>
              <c:showSerName val="0"/>
              <c:showPercent val="0"/>
              <c:showBubbleSize val="0"/>
            </c:dLbl>
            <c:dLbl>
              <c:idx val="3"/>
              <c:layout>
                <c:manualLayout>
                  <c:x val="2.6841787439616047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CHR!$E$3:$G$3</c:f>
              <c:numCache>
                <c:formatCode>General</c:formatCode>
                <c:ptCount val="3"/>
                <c:pt idx="0">
                  <c:v>2012</c:v>
                </c:pt>
                <c:pt idx="1">
                  <c:v>2013</c:v>
                </c:pt>
                <c:pt idx="2">
                  <c:v>2014</c:v>
                </c:pt>
              </c:numCache>
            </c:numRef>
          </c:cat>
          <c:val>
            <c:numRef>
              <c:f>CHR!$E$6:$G$6</c:f>
              <c:numCache>
                <c:formatCode>_(* #,##0_);_(* \(#,##0\);_(* "-"??_);_(@_)</c:formatCode>
                <c:ptCount val="3"/>
                <c:pt idx="0">
                  <c:v>1778012</c:v>
                </c:pt>
                <c:pt idx="1">
                  <c:v>-5735375</c:v>
                </c:pt>
                <c:pt idx="2">
                  <c:v>-6272470</c:v>
                </c:pt>
              </c:numCache>
            </c:numRef>
          </c:val>
        </c:ser>
        <c:dLbls>
          <c:showLegendKey val="0"/>
          <c:showVal val="1"/>
          <c:showCatName val="0"/>
          <c:showSerName val="0"/>
          <c:showPercent val="0"/>
          <c:showBubbleSize val="0"/>
        </c:dLbls>
        <c:gapWidth val="150"/>
        <c:axId val="133102592"/>
        <c:axId val="132763584"/>
      </c:barChart>
      <c:catAx>
        <c:axId val="133102592"/>
        <c:scaling>
          <c:orientation val="minMax"/>
        </c:scaling>
        <c:delete val="0"/>
        <c:axPos val="b"/>
        <c:numFmt formatCode="General" sourceLinked="1"/>
        <c:majorTickMark val="none"/>
        <c:minorTickMark val="none"/>
        <c:tickLblPos val="low"/>
        <c:txPr>
          <a:bodyPr rot="0" vert="horz"/>
          <a:lstStyle/>
          <a:p>
            <a:pPr>
              <a:defRPr/>
            </a:pPr>
            <a:endParaRPr lang="en-US"/>
          </a:p>
        </c:txPr>
        <c:crossAx val="132763584"/>
        <c:crosses val="autoZero"/>
        <c:auto val="1"/>
        <c:lblAlgn val="ctr"/>
        <c:lblOffset val="100"/>
        <c:tickLblSkip val="1"/>
        <c:tickMarkSkip val="1"/>
        <c:noMultiLvlLbl val="0"/>
      </c:catAx>
      <c:valAx>
        <c:axId val="132763584"/>
        <c:scaling>
          <c:orientation val="minMax"/>
        </c:scaling>
        <c:delete val="0"/>
        <c:axPos val="l"/>
        <c:numFmt formatCode="_(* #,##0_);_(* \(#,##0\);_(* &quot;-&quot;??_);_(@_)" sourceLinked="1"/>
        <c:majorTickMark val="none"/>
        <c:minorTickMark val="none"/>
        <c:tickLblPos val="none"/>
        <c:crossAx val="13310259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Plan!$J$3</c:f>
              <c:strCache>
                <c:ptCount val="1"/>
                <c:pt idx="0">
                  <c:v>2012</c:v>
                </c:pt>
              </c:strCache>
            </c:strRef>
          </c:tx>
          <c:marker>
            <c:symbol val="square"/>
            <c:size val="5"/>
          </c:marker>
          <c:cat>
            <c:strLit>
              <c:ptCount val="4"/>
              <c:pt idx="0">
                <c:v>Q1</c:v>
              </c:pt>
              <c:pt idx="1">
                <c:v> Q2</c:v>
              </c:pt>
              <c:pt idx="2">
                <c:v> Q3</c:v>
              </c:pt>
              <c:pt idx="3">
                <c:v> Year-End</c:v>
              </c:pt>
            </c:strLit>
          </c:cat>
          <c:val>
            <c:numRef>
              <c:f>Plan!$J$5:$J$8</c:f>
              <c:numCache>
                <c:formatCode>_(* #,##0_);_(* \(#,##0\);_(* "-"??_);_(@_)</c:formatCode>
                <c:ptCount val="4"/>
                <c:pt idx="1">
                  <c:v>-152000</c:v>
                </c:pt>
                <c:pt idx="2">
                  <c:v>-154000</c:v>
                </c:pt>
                <c:pt idx="3">
                  <c:v>-259315</c:v>
                </c:pt>
              </c:numCache>
            </c:numRef>
          </c:val>
          <c:smooth val="0"/>
        </c:ser>
        <c:ser>
          <c:idx val="0"/>
          <c:order val="1"/>
          <c:tx>
            <c:strRef>
              <c:f>Plan!$K$3</c:f>
              <c:strCache>
                <c:ptCount val="1"/>
                <c:pt idx="0">
                  <c:v>2013</c:v>
                </c:pt>
              </c:strCache>
            </c:strRef>
          </c:tx>
          <c:cat>
            <c:strLit>
              <c:ptCount val="4"/>
              <c:pt idx="0">
                <c:v>Q1</c:v>
              </c:pt>
              <c:pt idx="1">
                <c:v> Q2</c:v>
              </c:pt>
              <c:pt idx="2">
                <c:v> Q3</c:v>
              </c:pt>
              <c:pt idx="3">
                <c:v> Year-End</c:v>
              </c:pt>
            </c:strLit>
          </c:cat>
          <c:val>
            <c:numRef>
              <c:f>Plan!$K$5:$K$8</c:f>
              <c:numCache>
                <c:formatCode>_(* #,##0_);_(* \(#,##0\);_(* "-"??_);_(@_)</c:formatCode>
                <c:ptCount val="4"/>
                <c:pt idx="1">
                  <c:v>0</c:v>
                </c:pt>
                <c:pt idx="2">
                  <c:v>0</c:v>
                </c:pt>
                <c:pt idx="3">
                  <c:v>30279</c:v>
                </c:pt>
              </c:numCache>
            </c:numRef>
          </c:val>
          <c:smooth val="0"/>
        </c:ser>
        <c:ser>
          <c:idx val="1"/>
          <c:order val="2"/>
          <c:tx>
            <c:strRef>
              <c:f>Plan!$L$3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Plan!$L$5:$L$8</c:f>
              <c:numCache>
                <c:formatCode>_(* #,##0_);_(* \(#,##0\);_(* "-"??_);_(@_)</c:formatCode>
                <c:ptCount val="4"/>
                <c:pt idx="0">
                  <c:v>-100000</c:v>
                </c:pt>
                <c:pt idx="1">
                  <c:v>137500</c:v>
                </c:pt>
                <c:pt idx="2">
                  <c:v>160000</c:v>
                </c:pt>
              </c:numCache>
            </c:numRef>
          </c:val>
          <c:smooth val="0"/>
        </c:ser>
        <c:dLbls>
          <c:showLegendKey val="0"/>
          <c:showVal val="0"/>
          <c:showCatName val="0"/>
          <c:showSerName val="0"/>
          <c:showPercent val="0"/>
          <c:showBubbleSize val="0"/>
        </c:dLbls>
        <c:marker val="1"/>
        <c:smooth val="0"/>
        <c:axId val="133001216"/>
        <c:axId val="132765888"/>
      </c:lineChart>
      <c:catAx>
        <c:axId val="133001216"/>
        <c:scaling>
          <c:orientation val="minMax"/>
        </c:scaling>
        <c:delete val="0"/>
        <c:axPos val="b"/>
        <c:numFmt formatCode="General" sourceLinked="1"/>
        <c:majorTickMark val="none"/>
        <c:minorTickMark val="none"/>
        <c:tickLblPos val="low"/>
        <c:txPr>
          <a:bodyPr rot="0" vert="horz"/>
          <a:lstStyle/>
          <a:p>
            <a:pPr>
              <a:defRPr/>
            </a:pPr>
            <a:endParaRPr lang="en-US"/>
          </a:p>
        </c:txPr>
        <c:crossAx val="132765888"/>
        <c:crosses val="autoZero"/>
        <c:auto val="1"/>
        <c:lblAlgn val="ctr"/>
        <c:lblOffset val="100"/>
        <c:tickLblSkip val="1"/>
        <c:tickMarkSkip val="1"/>
        <c:noMultiLvlLbl val="0"/>
      </c:catAx>
      <c:valAx>
        <c:axId val="132765888"/>
        <c:scaling>
          <c:orientation val="minMax"/>
        </c:scaling>
        <c:delete val="0"/>
        <c:axPos val="l"/>
        <c:majorGridlines/>
        <c:numFmt formatCode="_(* #,##0_);_(* \(#,##0\);_(* &quot;-&quot;??_);_(@_)" sourceLinked="1"/>
        <c:majorTickMark val="out"/>
        <c:minorTickMark val="none"/>
        <c:tickLblPos val="nextTo"/>
        <c:crossAx val="13300121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Plan!$E$3:$G$3</c:f>
              <c:numCache>
                <c:formatCode>General</c:formatCode>
                <c:ptCount val="3"/>
                <c:pt idx="0">
                  <c:v>2012</c:v>
                </c:pt>
                <c:pt idx="1">
                  <c:v>2013</c:v>
                </c:pt>
                <c:pt idx="2">
                  <c:v>2014</c:v>
                </c:pt>
              </c:numCache>
            </c:numRef>
          </c:cat>
          <c:val>
            <c:numRef>
              <c:f>Plan!$E$7:$G$7</c:f>
              <c:numCache>
                <c:formatCode>_(* #,##0_);_(* \(#,##0\);_(* "-"??_);_(@_)</c:formatCode>
                <c:ptCount val="3"/>
                <c:pt idx="0">
                  <c:v>2724103</c:v>
                </c:pt>
                <c:pt idx="1">
                  <c:v>2705990</c:v>
                </c:pt>
                <c:pt idx="2">
                  <c:v>2615052.7200000002</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Plan!$E$3:$G$3</c:f>
              <c:numCache>
                <c:formatCode>General</c:formatCode>
                <c:ptCount val="3"/>
                <c:pt idx="0">
                  <c:v>2012</c:v>
                </c:pt>
                <c:pt idx="1">
                  <c:v>2013</c:v>
                </c:pt>
                <c:pt idx="2">
                  <c:v>2014</c:v>
                </c:pt>
              </c:numCache>
            </c:numRef>
          </c:cat>
          <c:val>
            <c:numRef>
              <c:f>Plan!$E$6:$G$6</c:f>
              <c:numCache>
                <c:formatCode>_(* #,##0_);_(* \(#,##0\);_(* "-"??_);_(@_)</c:formatCode>
                <c:ptCount val="3"/>
                <c:pt idx="0">
                  <c:v>2464788</c:v>
                </c:pt>
                <c:pt idx="1">
                  <c:v>2736269</c:v>
                </c:pt>
                <c:pt idx="2">
                  <c:v>2752552.72</c:v>
                </c:pt>
              </c:numCache>
            </c:numRef>
          </c:val>
        </c:ser>
        <c:dLbls>
          <c:showLegendKey val="0"/>
          <c:showVal val="1"/>
          <c:showCatName val="0"/>
          <c:showSerName val="0"/>
          <c:showPercent val="0"/>
          <c:showBubbleSize val="0"/>
        </c:dLbls>
        <c:gapWidth val="150"/>
        <c:axId val="133003264"/>
        <c:axId val="133382720"/>
      </c:barChart>
      <c:catAx>
        <c:axId val="133003264"/>
        <c:scaling>
          <c:orientation val="minMax"/>
        </c:scaling>
        <c:delete val="0"/>
        <c:axPos val="b"/>
        <c:numFmt formatCode="General" sourceLinked="1"/>
        <c:majorTickMark val="none"/>
        <c:minorTickMark val="none"/>
        <c:tickLblPos val="nextTo"/>
        <c:txPr>
          <a:bodyPr rot="0" vert="horz"/>
          <a:lstStyle/>
          <a:p>
            <a:pPr>
              <a:defRPr/>
            </a:pPr>
            <a:endParaRPr lang="en-US"/>
          </a:p>
        </c:txPr>
        <c:crossAx val="133382720"/>
        <c:crosses val="autoZero"/>
        <c:auto val="1"/>
        <c:lblAlgn val="ctr"/>
        <c:lblOffset val="100"/>
        <c:tickLblSkip val="1"/>
        <c:tickMarkSkip val="1"/>
        <c:noMultiLvlLbl val="0"/>
      </c:catAx>
      <c:valAx>
        <c:axId val="133382720"/>
        <c:scaling>
          <c:orientation val="minMax"/>
        </c:scaling>
        <c:delete val="0"/>
        <c:axPos val="l"/>
        <c:numFmt formatCode="_(* #,##0_);_(* \(#,##0\);_(* &quot;-&quot;??_);_(@_)" sourceLinked="1"/>
        <c:majorTickMark val="none"/>
        <c:minorTickMark val="none"/>
        <c:tickLblPos val="none"/>
        <c:crossAx val="13300326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Eng!$J$3</c:f>
              <c:strCache>
                <c:ptCount val="1"/>
                <c:pt idx="0">
                  <c:v>2012</c:v>
                </c:pt>
              </c:strCache>
            </c:strRef>
          </c:tx>
          <c:marker>
            <c:symbol val="square"/>
            <c:size val="5"/>
          </c:marker>
          <c:cat>
            <c:strLit>
              <c:ptCount val="4"/>
              <c:pt idx="0">
                <c:v>Q1</c:v>
              </c:pt>
              <c:pt idx="1">
                <c:v> Q2</c:v>
              </c:pt>
              <c:pt idx="2">
                <c:v> Q3</c:v>
              </c:pt>
              <c:pt idx="3">
                <c:v> Year-End</c:v>
              </c:pt>
            </c:strLit>
          </c:cat>
          <c:val>
            <c:numRef>
              <c:f>Eng!$J$5:$J$8</c:f>
              <c:numCache>
                <c:formatCode>_(* #,##0_);_(* \(#,##0\);_(* "-"??_);_(@_)</c:formatCode>
                <c:ptCount val="4"/>
                <c:pt idx="1">
                  <c:v>-210000</c:v>
                </c:pt>
                <c:pt idx="2">
                  <c:v>-301000</c:v>
                </c:pt>
                <c:pt idx="3">
                  <c:v>6654</c:v>
                </c:pt>
              </c:numCache>
            </c:numRef>
          </c:val>
          <c:smooth val="0"/>
        </c:ser>
        <c:ser>
          <c:idx val="0"/>
          <c:order val="1"/>
          <c:tx>
            <c:strRef>
              <c:f>Eng!$K$3</c:f>
              <c:strCache>
                <c:ptCount val="1"/>
                <c:pt idx="0">
                  <c:v>2013</c:v>
                </c:pt>
              </c:strCache>
            </c:strRef>
          </c:tx>
          <c:cat>
            <c:strLit>
              <c:ptCount val="4"/>
              <c:pt idx="0">
                <c:v>Q1</c:v>
              </c:pt>
              <c:pt idx="1">
                <c:v> Q2</c:v>
              </c:pt>
              <c:pt idx="2">
                <c:v> Q3</c:v>
              </c:pt>
              <c:pt idx="3">
                <c:v> Year-End</c:v>
              </c:pt>
            </c:strLit>
          </c:cat>
          <c:val>
            <c:numRef>
              <c:f>Eng!$K$5:$K$8</c:f>
              <c:numCache>
                <c:formatCode>_(* #,##0_);_(* \(#,##0\);_(* "-"??_);_(@_)</c:formatCode>
                <c:ptCount val="4"/>
                <c:pt idx="1">
                  <c:v>-389000</c:v>
                </c:pt>
                <c:pt idx="2">
                  <c:v>-171000</c:v>
                </c:pt>
                <c:pt idx="3">
                  <c:v>-59149</c:v>
                </c:pt>
              </c:numCache>
            </c:numRef>
          </c:val>
          <c:smooth val="0"/>
        </c:ser>
        <c:ser>
          <c:idx val="1"/>
          <c:order val="2"/>
          <c:tx>
            <c:strRef>
              <c:f>Eng!$L$3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Eng!$L$5:$L$8</c:f>
              <c:numCache>
                <c:formatCode>_(* #,##0_);_(* \(#,##0\);_(* "-"??_);_(@_)</c:formatCode>
                <c:ptCount val="4"/>
                <c:pt idx="0">
                  <c:v>-377000</c:v>
                </c:pt>
                <c:pt idx="1">
                  <c:v>-387000</c:v>
                </c:pt>
                <c:pt idx="2">
                  <c:v>-218500</c:v>
                </c:pt>
              </c:numCache>
            </c:numRef>
          </c:val>
          <c:smooth val="0"/>
        </c:ser>
        <c:dLbls>
          <c:showLegendKey val="0"/>
          <c:showVal val="0"/>
          <c:showCatName val="0"/>
          <c:showSerName val="0"/>
          <c:showPercent val="0"/>
          <c:showBubbleSize val="0"/>
        </c:dLbls>
        <c:marker val="1"/>
        <c:smooth val="0"/>
        <c:axId val="133004288"/>
        <c:axId val="133385600"/>
      </c:lineChart>
      <c:catAx>
        <c:axId val="133004288"/>
        <c:scaling>
          <c:orientation val="minMax"/>
        </c:scaling>
        <c:delete val="0"/>
        <c:axPos val="b"/>
        <c:numFmt formatCode="General" sourceLinked="1"/>
        <c:majorTickMark val="none"/>
        <c:minorTickMark val="none"/>
        <c:tickLblPos val="low"/>
        <c:txPr>
          <a:bodyPr rot="0" vert="horz"/>
          <a:lstStyle/>
          <a:p>
            <a:pPr>
              <a:defRPr/>
            </a:pPr>
            <a:endParaRPr lang="en-US"/>
          </a:p>
        </c:txPr>
        <c:crossAx val="133385600"/>
        <c:crosses val="autoZero"/>
        <c:auto val="1"/>
        <c:lblAlgn val="ctr"/>
        <c:lblOffset val="100"/>
        <c:tickLblSkip val="1"/>
        <c:tickMarkSkip val="1"/>
        <c:noMultiLvlLbl val="0"/>
      </c:catAx>
      <c:valAx>
        <c:axId val="133385600"/>
        <c:scaling>
          <c:orientation val="minMax"/>
        </c:scaling>
        <c:delete val="0"/>
        <c:axPos val="l"/>
        <c:majorGridlines/>
        <c:numFmt formatCode="_(* #,##0_);_(* \(#,##0\);_(* &quot;-&quot;??_);_(@_)" sourceLinked="1"/>
        <c:majorTickMark val="out"/>
        <c:minorTickMark val="none"/>
        <c:tickLblPos val="nextTo"/>
        <c:crossAx val="13300428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Eng!$E$3:$G$3</c:f>
              <c:numCache>
                <c:formatCode>General</c:formatCode>
                <c:ptCount val="3"/>
                <c:pt idx="0">
                  <c:v>2012</c:v>
                </c:pt>
                <c:pt idx="1">
                  <c:v>2013</c:v>
                </c:pt>
                <c:pt idx="2">
                  <c:v>2014</c:v>
                </c:pt>
              </c:numCache>
            </c:numRef>
          </c:cat>
          <c:val>
            <c:numRef>
              <c:f>Eng!$E$7:$G$7</c:f>
              <c:numCache>
                <c:formatCode>_(* #,##0_);_(* \(#,##0\);_(* "-"??_);_(@_)</c:formatCode>
                <c:ptCount val="3"/>
                <c:pt idx="0">
                  <c:v>7895450</c:v>
                </c:pt>
                <c:pt idx="1">
                  <c:v>8709128</c:v>
                </c:pt>
                <c:pt idx="2">
                  <c:v>8860283.8000000007</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Eng!$E$3:$G$3</c:f>
              <c:numCache>
                <c:formatCode>General</c:formatCode>
                <c:ptCount val="3"/>
                <c:pt idx="0">
                  <c:v>2012</c:v>
                </c:pt>
                <c:pt idx="1">
                  <c:v>2013</c:v>
                </c:pt>
                <c:pt idx="2">
                  <c:v>2014</c:v>
                </c:pt>
              </c:numCache>
            </c:numRef>
          </c:cat>
          <c:val>
            <c:numRef>
              <c:f>Eng!$E$6:$G$6</c:f>
              <c:numCache>
                <c:formatCode>_(* #,##0_);_(* \(#,##0\);_(* "-"??_);_(@_)</c:formatCode>
                <c:ptCount val="3"/>
                <c:pt idx="0">
                  <c:v>7902104</c:v>
                </c:pt>
                <c:pt idx="1">
                  <c:v>8649979</c:v>
                </c:pt>
                <c:pt idx="2">
                  <c:v>8473283.8000000007</c:v>
                </c:pt>
              </c:numCache>
            </c:numRef>
          </c:val>
        </c:ser>
        <c:dLbls>
          <c:showLegendKey val="0"/>
          <c:showVal val="1"/>
          <c:showCatName val="0"/>
          <c:showSerName val="0"/>
          <c:showPercent val="0"/>
          <c:showBubbleSize val="0"/>
        </c:dLbls>
        <c:gapWidth val="150"/>
        <c:axId val="133629440"/>
        <c:axId val="133387904"/>
      </c:barChart>
      <c:catAx>
        <c:axId val="133629440"/>
        <c:scaling>
          <c:orientation val="minMax"/>
        </c:scaling>
        <c:delete val="0"/>
        <c:axPos val="b"/>
        <c:numFmt formatCode="General" sourceLinked="1"/>
        <c:majorTickMark val="none"/>
        <c:minorTickMark val="none"/>
        <c:tickLblPos val="nextTo"/>
        <c:txPr>
          <a:bodyPr rot="0" vert="horz"/>
          <a:lstStyle/>
          <a:p>
            <a:pPr>
              <a:defRPr/>
            </a:pPr>
            <a:endParaRPr lang="en-US"/>
          </a:p>
        </c:txPr>
        <c:crossAx val="133387904"/>
        <c:crosses val="autoZero"/>
        <c:auto val="1"/>
        <c:lblAlgn val="ctr"/>
        <c:lblOffset val="100"/>
        <c:tickLblSkip val="1"/>
        <c:tickMarkSkip val="1"/>
        <c:noMultiLvlLbl val="0"/>
      </c:catAx>
      <c:valAx>
        <c:axId val="133387904"/>
        <c:scaling>
          <c:orientation val="minMax"/>
        </c:scaling>
        <c:delete val="0"/>
        <c:axPos val="l"/>
        <c:numFmt formatCode="_(* #,##0_);_(* \(#,##0\);_(* &quot;-&quot;??_);_(@_)" sourceLinked="1"/>
        <c:majorTickMark val="none"/>
        <c:minorTickMark val="none"/>
        <c:tickLblPos val="none"/>
        <c:crossAx val="13362944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Env!$J$3</c:f>
              <c:strCache>
                <c:ptCount val="1"/>
                <c:pt idx="0">
                  <c:v>2012</c:v>
                </c:pt>
              </c:strCache>
            </c:strRef>
          </c:tx>
          <c:marker>
            <c:symbol val="square"/>
            <c:size val="5"/>
          </c:marker>
          <c:cat>
            <c:strLit>
              <c:ptCount val="4"/>
              <c:pt idx="0">
                <c:v>Q1</c:v>
              </c:pt>
              <c:pt idx="1">
                <c:v> Q2</c:v>
              </c:pt>
              <c:pt idx="2">
                <c:v> Q3</c:v>
              </c:pt>
              <c:pt idx="3">
                <c:v> Year-End</c:v>
              </c:pt>
            </c:strLit>
          </c:cat>
          <c:val>
            <c:numRef>
              <c:f>Env!$J$5:$J$8</c:f>
              <c:numCache>
                <c:formatCode>_(* #,##0_);_(* \(#,##0\);_(* "-"??_);_(@_)</c:formatCode>
                <c:ptCount val="4"/>
                <c:pt idx="1">
                  <c:v>-100000</c:v>
                </c:pt>
                <c:pt idx="2">
                  <c:v>50000</c:v>
                </c:pt>
                <c:pt idx="3">
                  <c:v>22690</c:v>
                </c:pt>
              </c:numCache>
            </c:numRef>
          </c:val>
          <c:smooth val="0"/>
        </c:ser>
        <c:ser>
          <c:idx val="0"/>
          <c:order val="1"/>
          <c:tx>
            <c:strRef>
              <c:f>Env!$K$3</c:f>
              <c:strCache>
                <c:ptCount val="1"/>
                <c:pt idx="0">
                  <c:v>2013</c:v>
                </c:pt>
              </c:strCache>
            </c:strRef>
          </c:tx>
          <c:cat>
            <c:strLit>
              <c:ptCount val="4"/>
              <c:pt idx="0">
                <c:v>Q1</c:v>
              </c:pt>
              <c:pt idx="1">
                <c:v> Q2</c:v>
              </c:pt>
              <c:pt idx="2">
                <c:v> Q3</c:v>
              </c:pt>
              <c:pt idx="3">
                <c:v> Year-End</c:v>
              </c:pt>
            </c:strLit>
          </c:cat>
          <c:val>
            <c:numRef>
              <c:f>Env!$K$5:$K$8</c:f>
              <c:numCache>
                <c:formatCode>_(* #,##0_);_(* \(#,##0\);_(* "-"??_);_(@_)</c:formatCode>
                <c:ptCount val="4"/>
                <c:pt idx="1">
                  <c:v>140000</c:v>
                </c:pt>
                <c:pt idx="2">
                  <c:v>-30000</c:v>
                </c:pt>
                <c:pt idx="3">
                  <c:v>74081</c:v>
                </c:pt>
              </c:numCache>
            </c:numRef>
          </c:val>
          <c:smooth val="0"/>
        </c:ser>
        <c:ser>
          <c:idx val="1"/>
          <c:order val="2"/>
          <c:tx>
            <c:strRef>
              <c:f>Env!$L$3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Env!$L$5:$L$8</c:f>
              <c:numCache>
                <c:formatCode>_(* #,##0_);_(* \(#,##0\);_(* "-"??_);_(@_)</c:formatCode>
                <c:ptCount val="4"/>
                <c:pt idx="0">
                  <c:v>0</c:v>
                </c:pt>
                <c:pt idx="1">
                  <c:v>100000</c:v>
                </c:pt>
                <c:pt idx="2">
                  <c:v>200000</c:v>
                </c:pt>
              </c:numCache>
            </c:numRef>
          </c:val>
          <c:smooth val="0"/>
        </c:ser>
        <c:dLbls>
          <c:showLegendKey val="0"/>
          <c:showVal val="0"/>
          <c:showCatName val="0"/>
          <c:showSerName val="0"/>
          <c:showPercent val="0"/>
          <c:showBubbleSize val="0"/>
        </c:dLbls>
        <c:marker val="1"/>
        <c:smooth val="0"/>
        <c:axId val="133004800"/>
        <c:axId val="133718592"/>
      </c:lineChart>
      <c:catAx>
        <c:axId val="133004800"/>
        <c:scaling>
          <c:orientation val="minMax"/>
        </c:scaling>
        <c:delete val="0"/>
        <c:axPos val="b"/>
        <c:numFmt formatCode="General" sourceLinked="1"/>
        <c:majorTickMark val="none"/>
        <c:minorTickMark val="none"/>
        <c:tickLblPos val="low"/>
        <c:txPr>
          <a:bodyPr rot="0" vert="horz"/>
          <a:lstStyle/>
          <a:p>
            <a:pPr>
              <a:defRPr/>
            </a:pPr>
            <a:endParaRPr lang="en-US"/>
          </a:p>
        </c:txPr>
        <c:crossAx val="133718592"/>
        <c:crosses val="autoZero"/>
        <c:auto val="1"/>
        <c:lblAlgn val="ctr"/>
        <c:lblOffset val="100"/>
        <c:tickLblSkip val="1"/>
        <c:tickMarkSkip val="1"/>
        <c:noMultiLvlLbl val="0"/>
      </c:catAx>
      <c:valAx>
        <c:axId val="133718592"/>
        <c:scaling>
          <c:orientation val="minMax"/>
        </c:scaling>
        <c:delete val="0"/>
        <c:axPos val="l"/>
        <c:majorGridlines/>
        <c:numFmt formatCode="_(* #,##0_);_(* \(#,##0\);_(* &quot;-&quot;??_);_(@_)" sourceLinked="1"/>
        <c:majorTickMark val="out"/>
        <c:minorTickMark val="none"/>
        <c:tickLblPos val="nextTo"/>
        <c:crossAx val="13300480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1.7307651441633889E-2"/>
                  <c:y val="0"/>
                </c:manualLayout>
              </c:layout>
              <c:dLblPos val="outEnd"/>
              <c:showLegendKey val="0"/>
              <c:showVal val="1"/>
              <c:showCatName val="0"/>
              <c:showSerName val="0"/>
              <c:showPercent val="0"/>
              <c:showBubbleSize val="0"/>
            </c:dLbl>
            <c:dLbl>
              <c:idx val="1"/>
              <c:layout>
                <c:manualLayout>
                  <c:x val="-1.9172622667647621E-2"/>
                  <c:y val="7.0700830904427423E-3"/>
                </c:manualLayout>
              </c:layout>
              <c:dLblPos val="outEnd"/>
              <c:showLegendKey val="0"/>
              <c:showVal val="1"/>
              <c:showCatName val="0"/>
              <c:showSerName val="0"/>
              <c:showPercent val="0"/>
              <c:showBubbleSize val="0"/>
            </c:dLbl>
            <c:dLbl>
              <c:idx val="2"/>
              <c:layout>
                <c:manualLayout>
                  <c:x val="-1.8551049919096882E-2"/>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Env!$E$3:$G$3</c:f>
              <c:numCache>
                <c:formatCode>General</c:formatCode>
                <c:ptCount val="3"/>
                <c:pt idx="0">
                  <c:v>2012</c:v>
                </c:pt>
                <c:pt idx="1">
                  <c:v>2013</c:v>
                </c:pt>
                <c:pt idx="2">
                  <c:v>2014</c:v>
                </c:pt>
              </c:numCache>
            </c:numRef>
          </c:cat>
          <c:val>
            <c:numRef>
              <c:f>Env!$E$7:$G$7</c:f>
              <c:numCache>
                <c:formatCode>_(* #,##0_);_(* \(#,##0\);_(* "-"??_);_(@_)</c:formatCode>
                <c:ptCount val="3"/>
                <c:pt idx="0">
                  <c:v>12594601</c:v>
                </c:pt>
                <c:pt idx="1">
                  <c:v>12547529</c:v>
                </c:pt>
                <c:pt idx="2">
                  <c:v>12761723.840000004</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Env!$E$3:$G$3</c:f>
              <c:numCache>
                <c:formatCode>General</c:formatCode>
                <c:ptCount val="3"/>
                <c:pt idx="0">
                  <c:v>2012</c:v>
                </c:pt>
                <c:pt idx="1">
                  <c:v>2013</c:v>
                </c:pt>
                <c:pt idx="2">
                  <c:v>2014</c:v>
                </c:pt>
              </c:numCache>
            </c:numRef>
          </c:cat>
          <c:val>
            <c:numRef>
              <c:f>Env!$E$6:$G$6</c:f>
              <c:numCache>
                <c:formatCode>_(* #,##0_);_(* \(#,##0\);_(* "-"??_);_(@_)</c:formatCode>
                <c:ptCount val="3"/>
                <c:pt idx="0">
                  <c:v>12617291</c:v>
                </c:pt>
                <c:pt idx="1">
                  <c:v>12621610</c:v>
                </c:pt>
                <c:pt idx="2">
                  <c:v>12861723.840000004</c:v>
                </c:pt>
              </c:numCache>
            </c:numRef>
          </c:val>
        </c:ser>
        <c:dLbls>
          <c:showLegendKey val="0"/>
          <c:showVal val="1"/>
          <c:showCatName val="0"/>
          <c:showSerName val="0"/>
          <c:showPercent val="0"/>
          <c:showBubbleSize val="0"/>
        </c:dLbls>
        <c:gapWidth val="150"/>
        <c:axId val="134328832"/>
        <c:axId val="133720896"/>
      </c:barChart>
      <c:catAx>
        <c:axId val="134328832"/>
        <c:scaling>
          <c:orientation val="minMax"/>
        </c:scaling>
        <c:delete val="0"/>
        <c:axPos val="b"/>
        <c:numFmt formatCode="General" sourceLinked="1"/>
        <c:majorTickMark val="none"/>
        <c:minorTickMark val="none"/>
        <c:tickLblPos val="nextTo"/>
        <c:txPr>
          <a:bodyPr rot="0" vert="horz"/>
          <a:lstStyle/>
          <a:p>
            <a:pPr>
              <a:defRPr/>
            </a:pPr>
            <a:endParaRPr lang="en-US"/>
          </a:p>
        </c:txPr>
        <c:crossAx val="133720896"/>
        <c:crosses val="autoZero"/>
        <c:auto val="1"/>
        <c:lblAlgn val="ctr"/>
        <c:lblOffset val="100"/>
        <c:tickLblSkip val="1"/>
        <c:tickMarkSkip val="1"/>
        <c:noMultiLvlLbl val="0"/>
      </c:catAx>
      <c:valAx>
        <c:axId val="133720896"/>
        <c:scaling>
          <c:orientation val="minMax"/>
        </c:scaling>
        <c:delete val="0"/>
        <c:axPos val="l"/>
        <c:numFmt formatCode="_(* #,##0_);_(* \(#,##0\);_(* &quot;-&quot;??_);_(@_)" sourceLinked="1"/>
        <c:majorTickMark val="none"/>
        <c:minorTickMark val="none"/>
        <c:tickLblPos val="none"/>
        <c:crossAx val="13432883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PWO!$J$3</c:f>
              <c:strCache>
                <c:ptCount val="1"/>
                <c:pt idx="0">
                  <c:v>2012</c:v>
                </c:pt>
              </c:strCache>
            </c:strRef>
          </c:tx>
          <c:marker>
            <c:symbol val="square"/>
            <c:size val="5"/>
          </c:marker>
          <c:cat>
            <c:strLit>
              <c:ptCount val="4"/>
              <c:pt idx="0">
                <c:v>Q1</c:v>
              </c:pt>
              <c:pt idx="1">
                <c:v> Q2</c:v>
              </c:pt>
              <c:pt idx="2">
                <c:v> Q3</c:v>
              </c:pt>
              <c:pt idx="3">
                <c:v> Year-End</c:v>
              </c:pt>
            </c:strLit>
          </c:cat>
          <c:val>
            <c:numRef>
              <c:f>PWO!$J$5:$J$8</c:f>
              <c:numCache>
                <c:formatCode>_(* #,##0_);_(* \(#,##0\);_(* "-"??_);_(@_)</c:formatCode>
                <c:ptCount val="4"/>
                <c:pt idx="1">
                  <c:v>162000</c:v>
                </c:pt>
                <c:pt idx="2">
                  <c:v>63000</c:v>
                </c:pt>
                <c:pt idx="3">
                  <c:v>419513</c:v>
                </c:pt>
              </c:numCache>
            </c:numRef>
          </c:val>
          <c:smooth val="0"/>
        </c:ser>
        <c:ser>
          <c:idx val="0"/>
          <c:order val="1"/>
          <c:tx>
            <c:strRef>
              <c:f>PWO!$K$3</c:f>
              <c:strCache>
                <c:ptCount val="1"/>
                <c:pt idx="0">
                  <c:v>2013</c:v>
                </c:pt>
              </c:strCache>
            </c:strRef>
          </c:tx>
          <c:cat>
            <c:strLit>
              <c:ptCount val="4"/>
              <c:pt idx="0">
                <c:v>Q1</c:v>
              </c:pt>
              <c:pt idx="1">
                <c:v> Q2</c:v>
              </c:pt>
              <c:pt idx="2">
                <c:v> Q3</c:v>
              </c:pt>
              <c:pt idx="3">
                <c:v> Year-End</c:v>
              </c:pt>
            </c:strLit>
          </c:cat>
          <c:val>
            <c:numRef>
              <c:f>PWO!$K$5:$K$8</c:f>
              <c:numCache>
                <c:formatCode>_(* #,##0_);_(* \(#,##0\);_(* "-"??_);_(@_)</c:formatCode>
                <c:ptCount val="4"/>
                <c:pt idx="1">
                  <c:v>-77000</c:v>
                </c:pt>
                <c:pt idx="2">
                  <c:v>-25000</c:v>
                </c:pt>
                <c:pt idx="3">
                  <c:v>-773671</c:v>
                </c:pt>
              </c:numCache>
            </c:numRef>
          </c:val>
          <c:smooth val="0"/>
        </c:ser>
        <c:ser>
          <c:idx val="1"/>
          <c:order val="2"/>
          <c:tx>
            <c:strRef>
              <c:f>PWO!$L$3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PWO!$L$5:$L$8</c:f>
              <c:numCache>
                <c:formatCode>_(* #,##0_);_(* \(#,##0\);_(* "-"??_);_(@_)</c:formatCode>
                <c:ptCount val="4"/>
                <c:pt idx="0">
                  <c:v>-530000</c:v>
                </c:pt>
                <c:pt idx="1">
                  <c:v>-2704000</c:v>
                </c:pt>
                <c:pt idx="2">
                  <c:v>-2924500</c:v>
                </c:pt>
              </c:numCache>
            </c:numRef>
          </c:val>
          <c:smooth val="0"/>
        </c:ser>
        <c:dLbls>
          <c:showLegendKey val="0"/>
          <c:showVal val="0"/>
          <c:showCatName val="0"/>
          <c:showSerName val="0"/>
          <c:showPercent val="0"/>
          <c:showBubbleSize val="0"/>
        </c:dLbls>
        <c:marker val="1"/>
        <c:smooth val="0"/>
        <c:axId val="133630464"/>
        <c:axId val="133723776"/>
      </c:lineChart>
      <c:catAx>
        <c:axId val="133630464"/>
        <c:scaling>
          <c:orientation val="minMax"/>
        </c:scaling>
        <c:delete val="0"/>
        <c:axPos val="b"/>
        <c:numFmt formatCode="General" sourceLinked="1"/>
        <c:majorTickMark val="none"/>
        <c:minorTickMark val="none"/>
        <c:tickLblPos val="low"/>
        <c:txPr>
          <a:bodyPr rot="0" vert="horz"/>
          <a:lstStyle/>
          <a:p>
            <a:pPr>
              <a:defRPr/>
            </a:pPr>
            <a:endParaRPr lang="en-US"/>
          </a:p>
        </c:txPr>
        <c:crossAx val="133723776"/>
        <c:crosses val="autoZero"/>
        <c:auto val="1"/>
        <c:lblAlgn val="ctr"/>
        <c:lblOffset val="100"/>
        <c:tickLblSkip val="1"/>
        <c:tickMarkSkip val="1"/>
        <c:noMultiLvlLbl val="0"/>
      </c:catAx>
      <c:valAx>
        <c:axId val="133723776"/>
        <c:scaling>
          <c:orientation val="minMax"/>
        </c:scaling>
        <c:delete val="0"/>
        <c:axPos val="l"/>
        <c:majorGridlines/>
        <c:numFmt formatCode="_(* #,##0_);_(* \(#,##0\);_(* &quot;-&quot;??_);_(@_)" sourceLinked="1"/>
        <c:majorTickMark val="out"/>
        <c:minorTickMark val="none"/>
        <c:tickLblPos val="nextTo"/>
        <c:crossAx val="13363046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layout/>
      <c:overlay val="0"/>
    </c:title>
    <c:autoTitleDeleted val="0"/>
    <c:plotArea>
      <c:layout/>
      <c:lineChart>
        <c:grouping val="standard"/>
        <c:varyColors val="0"/>
        <c:ser>
          <c:idx val="2"/>
          <c:order val="0"/>
          <c:tx>
            <c:strRef>
              <c:f>CAS!$J$3</c:f>
              <c:strCache>
                <c:ptCount val="1"/>
                <c:pt idx="0">
                  <c:v>2012</c:v>
                </c:pt>
              </c:strCache>
            </c:strRef>
          </c:tx>
          <c:marker>
            <c:symbol val="square"/>
            <c:size val="5"/>
          </c:marker>
          <c:cat>
            <c:strLit>
              <c:ptCount val="4"/>
              <c:pt idx="0">
                <c:v>Q1</c:v>
              </c:pt>
              <c:pt idx="1">
                <c:v> Q2</c:v>
              </c:pt>
              <c:pt idx="2">
                <c:v> Q3</c:v>
              </c:pt>
              <c:pt idx="3">
                <c:v> Year-End</c:v>
              </c:pt>
            </c:strLit>
          </c:cat>
          <c:val>
            <c:numRef>
              <c:f>CAS!$J$5:$J$8</c:f>
              <c:numCache>
                <c:formatCode>_(* #,##0_);_(* \(#,##0\);_(* "-"??_);_(@_)</c:formatCode>
                <c:ptCount val="4"/>
                <c:pt idx="1">
                  <c:v>0</c:v>
                </c:pt>
                <c:pt idx="2">
                  <c:v>0</c:v>
                </c:pt>
                <c:pt idx="3">
                  <c:v>10423</c:v>
                </c:pt>
              </c:numCache>
            </c:numRef>
          </c:val>
          <c:smooth val="0"/>
        </c:ser>
        <c:ser>
          <c:idx val="0"/>
          <c:order val="1"/>
          <c:tx>
            <c:strRef>
              <c:f>CAS!$K$3</c:f>
              <c:strCache>
                <c:ptCount val="1"/>
                <c:pt idx="0">
                  <c:v>2013</c:v>
                </c:pt>
              </c:strCache>
            </c:strRef>
          </c:tx>
          <c:cat>
            <c:strLit>
              <c:ptCount val="4"/>
              <c:pt idx="0">
                <c:v>Q1</c:v>
              </c:pt>
              <c:pt idx="1">
                <c:v> Q2</c:v>
              </c:pt>
              <c:pt idx="2">
                <c:v> Q3</c:v>
              </c:pt>
              <c:pt idx="3">
                <c:v> Year-End</c:v>
              </c:pt>
            </c:strLit>
          </c:cat>
          <c:val>
            <c:numRef>
              <c:f>CAS!$K$5:$K$8</c:f>
              <c:numCache>
                <c:formatCode>_(* #,##0_);_(* \(#,##0\);_(* "-"??_);_(@_)</c:formatCode>
                <c:ptCount val="4"/>
                <c:pt idx="1">
                  <c:v>0</c:v>
                </c:pt>
                <c:pt idx="2">
                  <c:v>0</c:v>
                </c:pt>
                <c:pt idx="3">
                  <c:v>2472</c:v>
                </c:pt>
              </c:numCache>
            </c:numRef>
          </c:val>
          <c:smooth val="0"/>
        </c:ser>
        <c:ser>
          <c:idx val="1"/>
          <c:order val="2"/>
          <c:tx>
            <c:strRef>
              <c:f>CAS!$L$3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CAS!$L$5:$L$8</c:f>
              <c:numCache>
                <c:formatCode>_(* #,##0_);_(* \(#,##0\);_(* "-"??_);_(@_)</c:formatCode>
                <c:ptCount val="4"/>
                <c:pt idx="0">
                  <c:v>0</c:v>
                </c:pt>
                <c:pt idx="1">
                  <c:v>0</c:v>
                </c:pt>
                <c:pt idx="2">
                  <c:v>0</c:v>
                </c:pt>
              </c:numCache>
            </c:numRef>
          </c:val>
          <c:smooth val="0"/>
        </c:ser>
        <c:dLbls>
          <c:showLegendKey val="0"/>
          <c:showVal val="0"/>
          <c:showCatName val="0"/>
          <c:showSerName val="0"/>
          <c:showPercent val="0"/>
          <c:showBubbleSize val="0"/>
        </c:dLbls>
        <c:marker val="1"/>
        <c:smooth val="0"/>
        <c:axId val="74192896"/>
        <c:axId val="74985984"/>
      </c:lineChart>
      <c:catAx>
        <c:axId val="74192896"/>
        <c:scaling>
          <c:orientation val="minMax"/>
        </c:scaling>
        <c:delete val="0"/>
        <c:axPos val="b"/>
        <c:numFmt formatCode="General" sourceLinked="1"/>
        <c:majorTickMark val="none"/>
        <c:minorTickMark val="none"/>
        <c:tickLblPos val="low"/>
        <c:txPr>
          <a:bodyPr rot="0" vert="horz"/>
          <a:lstStyle/>
          <a:p>
            <a:pPr>
              <a:defRPr/>
            </a:pPr>
            <a:endParaRPr lang="en-US"/>
          </a:p>
        </c:txPr>
        <c:crossAx val="74985984"/>
        <c:crosses val="autoZero"/>
        <c:auto val="1"/>
        <c:lblAlgn val="ctr"/>
        <c:lblOffset val="100"/>
        <c:tickLblSkip val="1"/>
        <c:tickMarkSkip val="1"/>
        <c:noMultiLvlLbl val="0"/>
      </c:catAx>
      <c:valAx>
        <c:axId val="74985984"/>
        <c:scaling>
          <c:orientation val="minMax"/>
        </c:scaling>
        <c:delete val="0"/>
        <c:axPos val="l"/>
        <c:majorGridlines/>
        <c:numFmt formatCode="_(* #,##0_);_(* \(#,##0\);_(* &quot;-&quot;??_);_(@_)" sourceLinked="1"/>
        <c:majorTickMark val="out"/>
        <c:minorTickMark val="none"/>
        <c:tickLblPos val="nextTo"/>
        <c:crossAx val="74192896"/>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PWO!$E$3:$G$3</c:f>
              <c:numCache>
                <c:formatCode>General</c:formatCode>
                <c:ptCount val="3"/>
                <c:pt idx="0">
                  <c:v>2012</c:v>
                </c:pt>
                <c:pt idx="1">
                  <c:v>2013</c:v>
                </c:pt>
                <c:pt idx="2">
                  <c:v>2014</c:v>
                </c:pt>
              </c:numCache>
            </c:numRef>
          </c:cat>
          <c:val>
            <c:numRef>
              <c:f>PWO!$E$7:$G$7</c:f>
              <c:numCache>
                <c:formatCode>_(* #,##0_);_(* \(#,##0\);_(* "-"??_);_(@_)</c:formatCode>
                <c:ptCount val="3"/>
                <c:pt idx="0">
                  <c:v>10378190</c:v>
                </c:pt>
                <c:pt idx="1">
                  <c:v>12347155</c:v>
                </c:pt>
                <c:pt idx="2">
                  <c:v>13839228</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PWO!$E$3:$G$3</c:f>
              <c:numCache>
                <c:formatCode>General</c:formatCode>
                <c:ptCount val="3"/>
                <c:pt idx="0">
                  <c:v>2012</c:v>
                </c:pt>
                <c:pt idx="1">
                  <c:v>2013</c:v>
                </c:pt>
                <c:pt idx="2">
                  <c:v>2014</c:v>
                </c:pt>
              </c:numCache>
            </c:numRef>
          </c:cat>
          <c:val>
            <c:numRef>
              <c:f>PWO!$E$6:$G$6</c:f>
              <c:numCache>
                <c:formatCode>_(* #,##0_);_(* \(#,##0\);_(* "-"??_);_(@_)</c:formatCode>
                <c:ptCount val="3"/>
                <c:pt idx="0">
                  <c:v>10797703</c:v>
                </c:pt>
                <c:pt idx="1">
                  <c:v>11573484</c:v>
                </c:pt>
                <c:pt idx="2">
                  <c:v>11135228</c:v>
                </c:pt>
              </c:numCache>
            </c:numRef>
          </c:val>
        </c:ser>
        <c:dLbls>
          <c:showLegendKey val="0"/>
          <c:showVal val="1"/>
          <c:showCatName val="0"/>
          <c:showSerName val="0"/>
          <c:showPercent val="0"/>
          <c:showBubbleSize val="0"/>
        </c:dLbls>
        <c:gapWidth val="150"/>
        <c:axId val="134331904"/>
        <c:axId val="133210112"/>
      </c:barChart>
      <c:catAx>
        <c:axId val="134331904"/>
        <c:scaling>
          <c:orientation val="minMax"/>
        </c:scaling>
        <c:delete val="0"/>
        <c:axPos val="b"/>
        <c:numFmt formatCode="General" sourceLinked="1"/>
        <c:majorTickMark val="none"/>
        <c:minorTickMark val="none"/>
        <c:tickLblPos val="nextTo"/>
        <c:txPr>
          <a:bodyPr rot="0" vert="horz"/>
          <a:lstStyle/>
          <a:p>
            <a:pPr>
              <a:defRPr/>
            </a:pPr>
            <a:endParaRPr lang="en-US"/>
          </a:p>
        </c:txPr>
        <c:crossAx val="133210112"/>
        <c:crosses val="autoZero"/>
        <c:auto val="1"/>
        <c:lblAlgn val="ctr"/>
        <c:lblOffset val="100"/>
        <c:tickLblSkip val="1"/>
        <c:tickMarkSkip val="1"/>
        <c:noMultiLvlLbl val="0"/>
      </c:catAx>
      <c:valAx>
        <c:axId val="133210112"/>
        <c:scaling>
          <c:orientation val="minMax"/>
        </c:scaling>
        <c:delete val="0"/>
        <c:axPos val="l"/>
        <c:numFmt formatCode="_(* #,##0_);_(* \(#,##0\);_(* &quot;-&quot;??_);_(@_)" sourceLinked="1"/>
        <c:majorTickMark val="none"/>
        <c:minorTickMark val="none"/>
        <c:tickLblPos val="none"/>
        <c:crossAx val="13433190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Build!$J$3</c:f>
              <c:strCache>
                <c:ptCount val="1"/>
                <c:pt idx="0">
                  <c:v>2012</c:v>
                </c:pt>
              </c:strCache>
            </c:strRef>
          </c:tx>
          <c:marker>
            <c:symbol val="square"/>
            <c:size val="5"/>
          </c:marker>
          <c:cat>
            <c:strLit>
              <c:ptCount val="4"/>
              <c:pt idx="0">
                <c:v>Q1</c:v>
              </c:pt>
              <c:pt idx="1">
                <c:v> Q2</c:v>
              </c:pt>
              <c:pt idx="2">
                <c:v> Q3</c:v>
              </c:pt>
              <c:pt idx="3">
                <c:v> Year-End</c:v>
              </c:pt>
            </c:strLit>
          </c:cat>
          <c:val>
            <c:numRef>
              <c:f>Build!$J$5:$J$8</c:f>
              <c:numCache>
                <c:formatCode>_(* #,##0_);_(* \(#,##0\);_(* "-"??_);_(@_)</c:formatCode>
                <c:ptCount val="4"/>
                <c:pt idx="1">
                  <c:v>85000</c:v>
                </c:pt>
                <c:pt idx="2">
                  <c:v>142000</c:v>
                </c:pt>
                <c:pt idx="3">
                  <c:v>199506</c:v>
                </c:pt>
              </c:numCache>
            </c:numRef>
          </c:val>
          <c:smooth val="0"/>
        </c:ser>
        <c:ser>
          <c:idx val="0"/>
          <c:order val="1"/>
          <c:tx>
            <c:strRef>
              <c:f>Build!$K$3</c:f>
              <c:strCache>
                <c:ptCount val="1"/>
                <c:pt idx="0">
                  <c:v>2013</c:v>
                </c:pt>
              </c:strCache>
            </c:strRef>
          </c:tx>
          <c:cat>
            <c:strLit>
              <c:ptCount val="4"/>
              <c:pt idx="0">
                <c:v>Q1</c:v>
              </c:pt>
              <c:pt idx="1">
                <c:v> Q2</c:v>
              </c:pt>
              <c:pt idx="2">
                <c:v> Q3</c:v>
              </c:pt>
              <c:pt idx="3">
                <c:v> Year-End</c:v>
              </c:pt>
            </c:strLit>
          </c:cat>
          <c:val>
            <c:numRef>
              <c:f>Build!$K$5:$K$8</c:f>
              <c:numCache>
                <c:formatCode>_(* #,##0_);_(* \(#,##0\);_(* "-"??_);_(@_)</c:formatCode>
                <c:ptCount val="4"/>
                <c:pt idx="1">
                  <c:v>0</c:v>
                </c:pt>
                <c:pt idx="2">
                  <c:v>32300</c:v>
                </c:pt>
                <c:pt idx="3">
                  <c:v>105476</c:v>
                </c:pt>
              </c:numCache>
            </c:numRef>
          </c:val>
          <c:smooth val="0"/>
        </c:ser>
        <c:ser>
          <c:idx val="1"/>
          <c:order val="2"/>
          <c:tx>
            <c:strRef>
              <c:f>Build!$L$3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Build!$L$5:$L$8</c:f>
              <c:numCache>
                <c:formatCode>_(* #,##0_);_(* \(#,##0\);_(* "-"??_);_(@_)</c:formatCode>
                <c:ptCount val="4"/>
                <c:pt idx="0">
                  <c:v>0</c:v>
                </c:pt>
                <c:pt idx="1">
                  <c:v>38200</c:v>
                </c:pt>
                <c:pt idx="2">
                  <c:v>13000</c:v>
                </c:pt>
              </c:numCache>
            </c:numRef>
          </c:val>
          <c:smooth val="0"/>
        </c:ser>
        <c:dLbls>
          <c:showLegendKey val="0"/>
          <c:showVal val="0"/>
          <c:showCatName val="0"/>
          <c:showSerName val="0"/>
          <c:showPercent val="0"/>
          <c:showBubbleSize val="0"/>
        </c:dLbls>
        <c:marker val="1"/>
        <c:smooth val="0"/>
        <c:axId val="134751744"/>
        <c:axId val="133212992"/>
      </c:lineChart>
      <c:catAx>
        <c:axId val="134751744"/>
        <c:scaling>
          <c:orientation val="minMax"/>
        </c:scaling>
        <c:delete val="0"/>
        <c:axPos val="b"/>
        <c:numFmt formatCode="General" sourceLinked="1"/>
        <c:majorTickMark val="none"/>
        <c:minorTickMark val="none"/>
        <c:tickLblPos val="low"/>
        <c:txPr>
          <a:bodyPr rot="0" vert="horz"/>
          <a:lstStyle/>
          <a:p>
            <a:pPr>
              <a:defRPr/>
            </a:pPr>
            <a:endParaRPr lang="en-US"/>
          </a:p>
        </c:txPr>
        <c:crossAx val="133212992"/>
        <c:crosses val="autoZero"/>
        <c:auto val="1"/>
        <c:lblAlgn val="ctr"/>
        <c:lblOffset val="100"/>
        <c:tickLblSkip val="1"/>
        <c:tickMarkSkip val="1"/>
        <c:noMultiLvlLbl val="0"/>
      </c:catAx>
      <c:valAx>
        <c:axId val="133212992"/>
        <c:scaling>
          <c:orientation val="minMax"/>
        </c:scaling>
        <c:delete val="0"/>
        <c:axPos val="l"/>
        <c:majorGridlines/>
        <c:numFmt formatCode="_(* #,##0_);_(* \(#,##0\);_(* &quot;-&quot;??_);_(@_)" sourceLinked="1"/>
        <c:majorTickMark val="out"/>
        <c:minorTickMark val="none"/>
        <c:tickLblPos val="nextTo"/>
        <c:crossAx val="13475174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Build!$E$3:$G$3</c:f>
              <c:numCache>
                <c:formatCode>General</c:formatCode>
                <c:ptCount val="3"/>
                <c:pt idx="0">
                  <c:v>2012</c:v>
                </c:pt>
                <c:pt idx="1">
                  <c:v>2013</c:v>
                </c:pt>
                <c:pt idx="2">
                  <c:v>2014</c:v>
                </c:pt>
              </c:numCache>
            </c:numRef>
          </c:cat>
          <c:val>
            <c:numRef>
              <c:f>Build!$E$7:$G$7</c:f>
              <c:numCache>
                <c:formatCode>_(* #,##0_);_(* \(#,##0\);_(* "-"??_);_(@_)</c:formatCode>
                <c:ptCount val="3"/>
                <c:pt idx="0">
                  <c:v>1841600</c:v>
                </c:pt>
                <c:pt idx="1">
                  <c:v>2040909</c:v>
                </c:pt>
                <c:pt idx="2">
                  <c:v>1970171</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Build!$E$3:$G$3</c:f>
              <c:numCache>
                <c:formatCode>General</c:formatCode>
                <c:ptCount val="3"/>
                <c:pt idx="0">
                  <c:v>2012</c:v>
                </c:pt>
                <c:pt idx="1">
                  <c:v>2013</c:v>
                </c:pt>
                <c:pt idx="2">
                  <c:v>2014</c:v>
                </c:pt>
              </c:numCache>
            </c:numRef>
          </c:cat>
          <c:val>
            <c:numRef>
              <c:f>Build!$E$6:$G$6</c:f>
              <c:numCache>
                <c:formatCode>_(* #,##0_);_(* \(#,##0\);_(* "-"??_);_(@_)</c:formatCode>
                <c:ptCount val="3"/>
                <c:pt idx="0">
                  <c:v>2041106</c:v>
                </c:pt>
                <c:pt idx="1">
                  <c:v>2146385</c:v>
                </c:pt>
                <c:pt idx="2">
                  <c:v>2008371</c:v>
                </c:pt>
              </c:numCache>
            </c:numRef>
          </c:val>
        </c:ser>
        <c:dLbls>
          <c:showLegendKey val="0"/>
          <c:showVal val="1"/>
          <c:showCatName val="0"/>
          <c:showSerName val="0"/>
          <c:showPercent val="0"/>
          <c:showBubbleSize val="0"/>
        </c:dLbls>
        <c:gapWidth val="150"/>
        <c:axId val="134753280"/>
        <c:axId val="133215296"/>
      </c:barChart>
      <c:catAx>
        <c:axId val="134753280"/>
        <c:scaling>
          <c:orientation val="minMax"/>
        </c:scaling>
        <c:delete val="0"/>
        <c:axPos val="b"/>
        <c:numFmt formatCode="General" sourceLinked="1"/>
        <c:majorTickMark val="none"/>
        <c:minorTickMark val="none"/>
        <c:tickLblPos val="nextTo"/>
        <c:txPr>
          <a:bodyPr rot="0" vert="horz"/>
          <a:lstStyle/>
          <a:p>
            <a:pPr>
              <a:defRPr/>
            </a:pPr>
            <a:endParaRPr lang="en-US"/>
          </a:p>
        </c:txPr>
        <c:crossAx val="133215296"/>
        <c:crosses val="autoZero"/>
        <c:auto val="1"/>
        <c:lblAlgn val="ctr"/>
        <c:lblOffset val="100"/>
        <c:tickLblSkip val="1"/>
        <c:tickMarkSkip val="1"/>
        <c:noMultiLvlLbl val="0"/>
      </c:catAx>
      <c:valAx>
        <c:axId val="133215296"/>
        <c:scaling>
          <c:orientation val="minMax"/>
        </c:scaling>
        <c:delete val="0"/>
        <c:axPos val="l"/>
        <c:numFmt formatCode="_(* #,##0_);_(* \(#,##0\);_(* &quot;-&quot;??_);_(@_)" sourceLinked="1"/>
        <c:majorTickMark val="none"/>
        <c:minorTickMark val="none"/>
        <c:tickLblPos val="none"/>
        <c:crossAx val="13475328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PFO!$J$3</c:f>
              <c:strCache>
                <c:ptCount val="1"/>
                <c:pt idx="0">
                  <c:v>2012</c:v>
                </c:pt>
              </c:strCache>
            </c:strRef>
          </c:tx>
          <c:marker>
            <c:symbol val="square"/>
            <c:size val="5"/>
          </c:marker>
          <c:cat>
            <c:strLit>
              <c:ptCount val="4"/>
              <c:pt idx="0">
                <c:v>Q1</c:v>
              </c:pt>
              <c:pt idx="1">
                <c:v> Q2</c:v>
              </c:pt>
              <c:pt idx="2">
                <c:v> Q3</c:v>
              </c:pt>
              <c:pt idx="3">
                <c:v> Year-End</c:v>
              </c:pt>
            </c:strLit>
          </c:cat>
          <c:val>
            <c:numRef>
              <c:f>PFO!$J$5:$J$8</c:f>
              <c:numCache>
                <c:formatCode>_(* #,##0_);_(* \(#,##0\);_(* "-"??_);_(@_)</c:formatCode>
                <c:ptCount val="4"/>
                <c:pt idx="1">
                  <c:v>-81000</c:v>
                </c:pt>
                <c:pt idx="2">
                  <c:v>-255000</c:v>
                </c:pt>
                <c:pt idx="3">
                  <c:v>-34284</c:v>
                </c:pt>
              </c:numCache>
            </c:numRef>
          </c:val>
          <c:smooth val="0"/>
        </c:ser>
        <c:ser>
          <c:idx val="0"/>
          <c:order val="1"/>
          <c:tx>
            <c:strRef>
              <c:f>PFO!$K$3</c:f>
              <c:strCache>
                <c:ptCount val="1"/>
                <c:pt idx="0">
                  <c:v>2013</c:v>
                </c:pt>
              </c:strCache>
            </c:strRef>
          </c:tx>
          <c:cat>
            <c:strLit>
              <c:ptCount val="4"/>
              <c:pt idx="0">
                <c:v>Q1</c:v>
              </c:pt>
              <c:pt idx="1">
                <c:v> Q2</c:v>
              </c:pt>
              <c:pt idx="2">
                <c:v> Q3</c:v>
              </c:pt>
              <c:pt idx="3">
                <c:v> Year-End</c:v>
              </c:pt>
            </c:strLit>
          </c:cat>
          <c:val>
            <c:numRef>
              <c:f>PFO!$K$5:$K$8</c:f>
              <c:numCache>
                <c:formatCode>_(* #,##0_);_(* \(#,##0\);_(* "-"??_);_(@_)</c:formatCode>
                <c:ptCount val="4"/>
                <c:pt idx="1">
                  <c:v>0</c:v>
                </c:pt>
                <c:pt idx="2">
                  <c:v>-191000</c:v>
                </c:pt>
                <c:pt idx="3">
                  <c:v>577574</c:v>
                </c:pt>
              </c:numCache>
            </c:numRef>
          </c:val>
          <c:smooth val="0"/>
        </c:ser>
        <c:ser>
          <c:idx val="1"/>
          <c:order val="2"/>
          <c:tx>
            <c:strRef>
              <c:f>PFO!$L$3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PFO!$L$5:$L$8</c:f>
              <c:numCache>
                <c:formatCode>_(* #,##0_);_(* \(#,##0\);_(* "-"??_);_(@_)</c:formatCode>
                <c:ptCount val="4"/>
                <c:pt idx="0">
                  <c:v>0</c:v>
                </c:pt>
                <c:pt idx="1">
                  <c:v>-315000</c:v>
                </c:pt>
                <c:pt idx="2">
                  <c:v>-249500</c:v>
                </c:pt>
              </c:numCache>
            </c:numRef>
          </c:val>
          <c:smooth val="0"/>
        </c:ser>
        <c:dLbls>
          <c:showLegendKey val="0"/>
          <c:showVal val="0"/>
          <c:showCatName val="0"/>
          <c:showSerName val="0"/>
          <c:showPercent val="0"/>
          <c:showBubbleSize val="0"/>
        </c:dLbls>
        <c:marker val="1"/>
        <c:smooth val="0"/>
        <c:axId val="134908928"/>
        <c:axId val="133217024"/>
      </c:lineChart>
      <c:catAx>
        <c:axId val="134908928"/>
        <c:scaling>
          <c:orientation val="minMax"/>
        </c:scaling>
        <c:delete val="0"/>
        <c:axPos val="b"/>
        <c:numFmt formatCode="General" sourceLinked="1"/>
        <c:majorTickMark val="none"/>
        <c:minorTickMark val="none"/>
        <c:tickLblPos val="low"/>
        <c:txPr>
          <a:bodyPr rot="0" vert="horz"/>
          <a:lstStyle/>
          <a:p>
            <a:pPr>
              <a:defRPr/>
            </a:pPr>
            <a:endParaRPr lang="en-US"/>
          </a:p>
        </c:txPr>
        <c:crossAx val="133217024"/>
        <c:crosses val="autoZero"/>
        <c:auto val="1"/>
        <c:lblAlgn val="ctr"/>
        <c:lblOffset val="100"/>
        <c:tickLblSkip val="1"/>
        <c:tickMarkSkip val="1"/>
        <c:noMultiLvlLbl val="0"/>
      </c:catAx>
      <c:valAx>
        <c:axId val="133217024"/>
        <c:scaling>
          <c:orientation val="minMax"/>
        </c:scaling>
        <c:delete val="0"/>
        <c:axPos val="l"/>
        <c:majorGridlines/>
        <c:numFmt formatCode="_(* #,##0_);_(* \(#,##0\);_(* &quot;-&quot;??_);_(@_)" sourceLinked="1"/>
        <c:majorTickMark val="out"/>
        <c:minorTickMark val="none"/>
        <c:tickLblPos val="nextTo"/>
        <c:crossAx val="13490892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77E-3"/>
                  <c:y val="0"/>
                </c:manualLayout>
              </c:layout>
              <c:dLblPos val="outEnd"/>
              <c:showLegendKey val="0"/>
              <c:showVal val="1"/>
              <c:showCatName val="0"/>
              <c:showSerName val="0"/>
              <c:showPercent val="0"/>
              <c:showBubbleSize val="0"/>
            </c:dLbl>
            <c:dLbl>
              <c:idx val="1"/>
              <c:layout>
                <c:manualLayout>
                  <c:x val="-6.3212202963108524E-3"/>
                  <c:y val="7.0700830904429938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33E-2"/>
                  <c:y val="-1.5325476311581085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PFO!$E$3:$G$3</c:f>
              <c:numCache>
                <c:formatCode>General</c:formatCode>
                <c:ptCount val="3"/>
                <c:pt idx="0">
                  <c:v>2012</c:v>
                </c:pt>
                <c:pt idx="1">
                  <c:v>2013</c:v>
                </c:pt>
                <c:pt idx="2">
                  <c:v>2014</c:v>
                </c:pt>
              </c:numCache>
            </c:numRef>
          </c:cat>
          <c:val>
            <c:numRef>
              <c:f>PFO!$E$7:$G$7</c:f>
              <c:numCache>
                <c:formatCode>_(* #,##0_);_(* \(#,##0\);_(* "-"??_);_(@_)</c:formatCode>
                <c:ptCount val="3"/>
                <c:pt idx="0">
                  <c:v>17460109</c:v>
                </c:pt>
                <c:pt idx="1">
                  <c:v>18919841</c:v>
                </c:pt>
                <c:pt idx="2">
                  <c:v>22119641</c:v>
                </c:pt>
              </c:numCache>
            </c:numRef>
          </c:val>
        </c:ser>
        <c:ser>
          <c:idx val="0"/>
          <c:order val="1"/>
          <c:tx>
            <c:v>Budget</c:v>
          </c:tx>
          <c:invertIfNegative val="0"/>
          <c:dLbls>
            <c:dLbl>
              <c:idx val="0"/>
              <c:layout>
                <c:manualLayout>
                  <c:x val="1.5976881171582243E-2"/>
                  <c:y val="-4.0873971428993534E-3"/>
                </c:manualLayout>
              </c:layout>
              <c:dLblPos val="outEnd"/>
              <c:showLegendKey val="0"/>
              <c:showVal val="1"/>
              <c:showCatName val="0"/>
              <c:showSerName val="0"/>
              <c:showPercent val="0"/>
              <c:showBubbleSize val="0"/>
            </c:dLbl>
            <c:dLbl>
              <c:idx val="1"/>
              <c:layout>
                <c:manualLayout>
                  <c:x val="1.9296386012498369E-2"/>
                  <c:y val="8.552026538790846E-3"/>
                </c:manualLayout>
              </c:layout>
              <c:dLblPos val="outEnd"/>
              <c:showLegendKey val="0"/>
              <c:showVal val="1"/>
              <c:showCatName val="0"/>
              <c:showSerName val="0"/>
              <c:showPercent val="0"/>
              <c:showBubbleSize val="0"/>
            </c:dLbl>
            <c:dLbl>
              <c:idx val="2"/>
              <c:layout>
                <c:manualLayout>
                  <c:x val="2.2509575121172652E-2"/>
                  <c:y val="8.8916207618171749E-4"/>
                </c:manualLayout>
              </c:layout>
              <c:dLblPos val="outEnd"/>
              <c:showLegendKey val="0"/>
              <c:showVal val="1"/>
              <c:showCatName val="0"/>
              <c:showSerName val="0"/>
              <c:showPercent val="0"/>
              <c:showBubbleSize val="0"/>
            </c:dLbl>
            <c:dLbl>
              <c:idx val="3"/>
              <c:layout>
                <c:manualLayout>
                  <c:x val="2.6841787439616047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PFO!$E$3:$G$3</c:f>
              <c:numCache>
                <c:formatCode>General</c:formatCode>
                <c:ptCount val="3"/>
                <c:pt idx="0">
                  <c:v>2012</c:v>
                </c:pt>
                <c:pt idx="1">
                  <c:v>2013</c:v>
                </c:pt>
                <c:pt idx="2">
                  <c:v>2014</c:v>
                </c:pt>
              </c:numCache>
            </c:numRef>
          </c:cat>
          <c:val>
            <c:numRef>
              <c:f>PFO!$E$6:$G$6</c:f>
              <c:numCache>
                <c:formatCode>_(* #,##0_);_(* \(#,##0\);_(* "-"??_);_(@_)</c:formatCode>
                <c:ptCount val="3"/>
                <c:pt idx="0">
                  <c:v>17425825</c:v>
                </c:pt>
                <c:pt idx="1">
                  <c:v>19497415</c:v>
                </c:pt>
                <c:pt idx="2">
                  <c:v>21804641</c:v>
                </c:pt>
              </c:numCache>
            </c:numRef>
          </c:val>
        </c:ser>
        <c:dLbls>
          <c:showLegendKey val="0"/>
          <c:showVal val="1"/>
          <c:showCatName val="0"/>
          <c:showSerName val="0"/>
          <c:showPercent val="0"/>
          <c:showBubbleSize val="0"/>
        </c:dLbls>
        <c:gapWidth val="150"/>
        <c:axId val="135086080"/>
        <c:axId val="135186688"/>
      </c:barChart>
      <c:catAx>
        <c:axId val="135086080"/>
        <c:scaling>
          <c:orientation val="minMax"/>
        </c:scaling>
        <c:delete val="0"/>
        <c:axPos val="b"/>
        <c:numFmt formatCode="General" sourceLinked="1"/>
        <c:majorTickMark val="none"/>
        <c:minorTickMark val="none"/>
        <c:tickLblPos val="low"/>
        <c:txPr>
          <a:bodyPr rot="0" vert="horz"/>
          <a:lstStyle/>
          <a:p>
            <a:pPr>
              <a:defRPr/>
            </a:pPr>
            <a:endParaRPr lang="en-US"/>
          </a:p>
        </c:txPr>
        <c:crossAx val="135186688"/>
        <c:crosses val="autoZero"/>
        <c:auto val="1"/>
        <c:lblAlgn val="ctr"/>
        <c:lblOffset val="100"/>
        <c:tickLblSkip val="1"/>
        <c:tickMarkSkip val="1"/>
        <c:noMultiLvlLbl val="0"/>
      </c:catAx>
      <c:valAx>
        <c:axId val="135186688"/>
        <c:scaling>
          <c:orientation val="minMax"/>
        </c:scaling>
        <c:delete val="0"/>
        <c:axPos val="l"/>
        <c:numFmt formatCode="_(* #,##0_);_(* \(#,##0\);_(* &quot;-&quot;??_);_(@_)" sourceLinked="1"/>
        <c:majorTickMark val="none"/>
        <c:minorTickMark val="none"/>
        <c:tickLblPos val="none"/>
        <c:crossAx val="13508608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CDO!$J$3</c:f>
              <c:strCache>
                <c:ptCount val="1"/>
                <c:pt idx="0">
                  <c:v>2012</c:v>
                </c:pt>
              </c:strCache>
            </c:strRef>
          </c:tx>
          <c:marker>
            <c:symbol val="square"/>
            <c:size val="5"/>
          </c:marker>
          <c:cat>
            <c:strLit>
              <c:ptCount val="4"/>
              <c:pt idx="0">
                <c:v>Q1</c:v>
              </c:pt>
              <c:pt idx="1">
                <c:v> Q2</c:v>
              </c:pt>
              <c:pt idx="2">
                <c:v> Q3</c:v>
              </c:pt>
              <c:pt idx="3">
                <c:v> Year-End</c:v>
              </c:pt>
            </c:strLit>
          </c:cat>
          <c:val>
            <c:numRef>
              <c:f>CDO!$J$5:$J$8</c:f>
              <c:numCache>
                <c:formatCode>_(* #,##0_);_(* \(#,##0\);_(* "-"??_);_(@_)</c:formatCode>
                <c:ptCount val="4"/>
                <c:pt idx="1">
                  <c:v>0</c:v>
                </c:pt>
                <c:pt idx="2">
                  <c:v>0</c:v>
                </c:pt>
                <c:pt idx="3">
                  <c:v>-8870</c:v>
                </c:pt>
              </c:numCache>
            </c:numRef>
          </c:val>
          <c:smooth val="0"/>
        </c:ser>
        <c:ser>
          <c:idx val="0"/>
          <c:order val="1"/>
          <c:tx>
            <c:strRef>
              <c:f>CDO!$K$3</c:f>
              <c:strCache>
                <c:ptCount val="1"/>
                <c:pt idx="0">
                  <c:v>2013</c:v>
                </c:pt>
              </c:strCache>
            </c:strRef>
          </c:tx>
          <c:cat>
            <c:strLit>
              <c:ptCount val="4"/>
              <c:pt idx="0">
                <c:v>Q1</c:v>
              </c:pt>
              <c:pt idx="1">
                <c:v> Q2</c:v>
              </c:pt>
              <c:pt idx="2">
                <c:v> Q3</c:v>
              </c:pt>
              <c:pt idx="3">
                <c:v> Year-End</c:v>
              </c:pt>
            </c:strLit>
          </c:cat>
          <c:val>
            <c:numRef>
              <c:f>CDO!$K$5:$K$8</c:f>
              <c:numCache>
                <c:formatCode>_(* #,##0_);_(* \(#,##0\);_(* "-"??_);_(@_)</c:formatCode>
                <c:ptCount val="4"/>
                <c:pt idx="1">
                  <c:v>0</c:v>
                </c:pt>
                <c:pt idx="2">
                  <c:v>0</c:v>
                </c:pt>
                <c:pt idx="3">
                  <c:v>1828</c:v>
                </c:pt>
              </c:numCache>
            </c:numRef>
          </c:val>
          <c:smooth val="0"/>
        </c:ser>
        <c:ser>
          <c:idx val="1"/>
          <c:order val="2"/>
          <c:tx>
            <c:strRef>
              <c:f>CDO!$L$3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CDO!$L$5:$L$8</c:f>
              <c:numCache>
                <c:formatCode>_(* #,##0_);_(* \(#,##0\);_(* "-"??_);_(@_)</c:formatCode>
                <c:ptCount val="4"/>
                <c:pt idx="0">
                  <c:v>0</c:v>
                </c:pt>
              </c:numCache>
            </c:numRef>
          </c:val>
          <c:smooth val="0"/>
        </c:ser>
        <c:dLbls>
          <c:showLegendKey val="0"/>
          <c:showVal val="0"/>
          <c:showCatName val="0"/>
          <c:showSerName val="0"/>
          <c:showPercent val="0"/>
          <c:showBubbleSize val="0"/>
        </c:dLbls>
        <c:marker val="1"/>
        <c:smooth val="0"/>
        <c:axId val="135088128"/>
        <c:axId val="135189568"/>
      </c:lineChart>
      <c:catAx>
        <c:axId val="135088128"/>
        <c:scaling>
          <c:orientation val="minMax"/>
        </c:scaling>
        <c:delete val="0"/>
        <c:axPos val="b"/>
        <c:numFmt formatCode="General" sourceLinked="1"/>
        <c:majorTickMark val="none"/>
        <c:minorTickMark val="none"/>
        <c:tickLblPos val="low"/>
        <c:txPr>
          <a:bodyPr rot="0" vert="horz"/>
          <a:lstStyle/>
          <a:p>
            <a:pPr>
              <a:defRPr/>
            </a:pPr>
            <a:endParaRPr lang="en-US"/>
          </a:p>
        </c:txPr>
        <c:crossAx val="135189568"/>
        <c:crosses val="autoZero"/>
        <c:auto val="1"/>
        <c:lblAlgn val="ctr"/>
        <c:lblOffset val="100"/>
        <c:tickLblSkip val="1"/>
        <c:tickMarkSkip val="1"/>
        <c:noMultiLvlLbl val="0"/>
      </c:catAx>
      <c:valAx>
        <c:axId val="135189568"/>
        <c:scaling>
          <c:orientation val="minMax"/>
        </c:scaling>
        <c:delete val="0"/>
        <c:axPos val="l"/>
        <c:majorGridlines/>
        <c:numFmt formatCode="_(* #,##0_);_(* \(#,##0\);_(* &quot;-&quot;??_);_(@_)" sourceLinked="1"/>
        <c:majorTickMark val="out"/>
        <c:minorTickMark val="none"/>
        <c:tickLblPos val="nextTo"/>
        <c:crossAx val="13508812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CDO!$E$3:$G$3</c:f>
              <c:numCache>
                <c:formatCode>General</c:formatCode>
                <c:ptCount val="3"/>
                <c:pt idx="0">
                  <c:v>2012</c:v>
                </c:pt>
                <c:pt idx="1">
                  <c:v>2013</c:v>
                </c:pt>
                <c:pt idx="2">
                  <c:v>2014</c:v>
                </c:pt>
              </c:numCache>
            </c:numRef>
          </c:cat>
          <c:val>
            <c:numRef>
              <c:f>CDO!$E$7:$G$7</c:f>
              <c:numCache>
                <c:formatCode>_(* #,##0_);_(* \(#,##0\);_(* "-"??_);_(@_)</c:formatCode>
                <c:ptCount val="3"/>
                <c:pt idx="0">
                  <c:v>98228</c:v>
                </c:pt>
                <c:pt idx="1">
                  <c:v>91012</c:v>
                </c:pt>
                <c:pt idx="2">
                  <c:v>0</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CDO!$E$3:$G$3</c:f>
              <c:numCache>
                <c:formatCode>General</c:formatCode>
                <c:ptCount val="3"/>
                <c:pt idx="0">
                  <c:v>2012</c:v>
                </c:pt>
                <c:pt idx="1">
                  <c:v>2013</c:v>
                </c:pt>
                <c:pt idx="2">
                  <c:v>2014</c:v>
                </c:pt>
              </c:numCache>
            </c:numRef>
          </c:cat>
          <c:val>
            <c:numRef>
              <c:f>CDO!$E$6:$G$6</c:f>
              <c:numCache>
                <c:formatCode>_(* #,##0_);_(* \(#,##0\);_(* "-"??_);_(@_)</c:formatCode>
                <c:ptCount val="3"/>
                <c:pt idx="0">
                  <c:v>89358</c:v>
                </c:pt>
                <c:pt idx="1">
                  <c:v>92840</c:v>
                </c:pt>
                <c:pt idx="2">
                  <c:v>0</c:v>
                </c:pt>
              </c:numCache>
            </c:numRef>
          </c:val>
        </c:ser>
        <c:dLbls>
          <c:showLegendKey val="0"/>
          <c:showVal val="1"/>
          <c:showCatName val="0"/>
          <c:showSerName val="0"/>
          <c:showPercent val="0"/>
          <c:showBubbleSize val="0"/>
        </c:dLbls>
        <c:gapWidth val="150"/>
        <c:axId val="135087104"/>
        <c:axId val="135191872"/>
      </c:barChart>
      <c:catAx>
        <c:axId val="135087104"/>
        <c:scaling>
          <c:orientation val="minMax"/>
        </c:scaling>
        <c:delete val="0"/>
        <c:axPos val="b"/>
        <c:numFmt formatCode="General" sourceLinked="1"/>
        <c:majorTickMark val="none"/>
        <c:minorTickMark val="none"/>
        <c:tickLblPos val="nextTo"/>
        <c:txPr>
          <a:bodyPr rot="0" vert="horz"/>
          <a:lstStyle/>
          <a:p>
            <a:pPr>
              <a:defRPr/>
            </a:pPr>
            <a:endParaRPr lang="en-US"/>
          </a:p>
        </c:txPr>
        <c:crossAx val="135191872"/>
        <c:crosses val="autoZero"/>
        <c:auto val="1"/>
        <c:lblAlgn val="ctr"/>
        <c:lblOffset val="100"/>
        <c:tickLblSkip val="1"/>
        <c:tickMarkSkip val="1"/>
        <c:noMultiLvlLbl val="0"/>
      </c:catAx>
      <c:valAx>
        <c:axId val="135191872"/>
        <c:scaling>
          <c:orientation val="minMax"/>
        </c:scaling>
        <c:delete val="0"/>
        <c:axPos val="l"/>
        <c:numFmt formatCode="_(* #,##0_);_(* \(#,##0\);_(* &quot;-&quot;??_);_(@_)" sourceLinked="1"/>
        <c:majorTickMark val="none"/>
        <c:minorTickMark val="none"/>
        <c:tickLblPos val="none"/>
        <c:crossAx val="13508710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ESS!$J$3</c:f>
              <c:strCache>
                <c:ptCount val="1"/>
                <c:pt idx="0">
                  <c:v>2012</c:v>
                </c:pt>
              </c:strCache>
            </c:strRef>
          </c:tx>
          <c:marker>
            <c:symbol val="square"/>
            <c:size val="5"/>
          </c:marker>
          <c:cat>
            <c:strLit>
              <c:ptCount val="4"/>
              <c:pt idx="0">
                <c:v>Q1</c:v>
              </c:pt>
              <c:pt idx="1">
                <c:v> Q2</c:v>
              </c:pt>
              <c:pt idx="2">
                <c:v> Q3</c:v>
              </c:pt>
              <c:pt idx="3">
                <c:v> Year-End</c:v>
              </c:pt>
            </c:strLit>
          </c:cat>
          <c:val>
            <c:numRef>
              <c:f>ESS!$J$5:$J$8</c:f>
              <c:numCache>
                <c:formatCode>_(* #,##0_);_(* \(#,##0\);_(* "-"??_);_(@_)</c:formatCode>
                <c:ptCount val="4"/>
                <c:pt idx="1">
                  <c:v>898000</c:v>
                </c:pt>
                <c:pt idx="2">
                  <c:v>711000</c:v>
                </c:pt>
                <c:pt idx="3">
                  <c:v>1170187</c:v>
                </c:pt>
              </c:numCache>
            </c:numRef>
          </c:val>
          <c:smooth val="0"/>
        </c:ser>
        <c:ser>
          <c:idx val="0"/>
          <c:order val="1"/>
          <c:tx>
            <c:strRef>
              <c:f>ESS!$K$3</c:f>
              <c:strCache>
                <c:ptCount val="1"/>
                <c:pt idx="0">
                  <c:v>2013</c:v>
                </c:pt>
              </c:strCache>
            </c:strRef>
          </c:tx>
          <c:cat>
            <c:strLit>
              <c:ptCount val="4"/>
              <c:pt idx="0">
                <c:v>Q1</c:v>
              </c:pt>
              <c:pt idx="1">
                <c:v> Q2</c:v>
              </c:pt>
              <c:pt idx="2">
                <c:v> Q3</c:v>
              </c:pt>
              <c:pt idx="3">
                <c:v> Year-End</c:v>
              </c:pt>
            </c:strLit>
          </c:cat>
          <c:val>
            <c:numRef>
              <c:f>ESS!$K$5:$K$8</c:f>
              <c:numCache>
                <c:formatCode>_(* #,##0_);_(* \(#,##0\);_(* "-"??_);_(@_)</c:formatCode>
                <c:ptCount val="4"/>
                <c:pt idx="1">
                  <c:v>937000</c:v>
                </c:pt>
                <c:pt idx="2">
                  <c:v>1160000</c:v>
                </c:pt>
                <c:pt idx="3">
                  <c:v>1680487</c:v>
                </c:pt>
              </c:numCache>
            </c:numRef>
          </c:val>
          <c:smooth val="0"/>
        </c:ser>
        <c:ser>
          <c:idx val="1"/>
          <c:order val="2"/>
          <c:tx>
            <c:strRef>
              <c:f>ESS!$L$3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ESS!$L$5:$L$8</c:f>
              <c:numCache>
                <c:formatCode>_(* #,##0_);_(* \(#,##0\);_(* "-"??_);_(@_)</c:formatCode>
                <c:ptCount val="4"/>
                <c:pt idx="0">
                  <c:v>380000</c:v>
                </c:pt>
                <c:pt idx="1">
                  <c:v>997000</c:v>
                </c:pt>
                <c:pt idx="2">
                  <c:v>1162000</c:v>
                </c:pt>
              </c:numCache>
            </c:numRef>
          </c:val>
          <c:smooth val="0"/>
        </c:ser>
        <c:dLbls>
          <c:showLegendKey val="0"/>
          <c:showVal val="0"/>
          <c:showCatName val="0"/>
          <c:showSerName val="0"/>
          <c:showPercent val="0"/>
          <c:showBubbleSize val="0"/>
        </c:dLbls>
        <c:marker val="1"/>
        <c:smooth val="0"/>
        <c:axId val="134906880"/>
        <c:axId val="133309568"/>
      </c:lineChart>
      <c:catAx>
        <c:axId val="134906880"/>
        <c:scaling>
          <c:orientation val="minMax"/>
        </c:scaling>
        <c:delete val="0"/>
        <c:axPos val="b"/>
        <c:numFmt formatCode="General" sourceLinked="1"/>
        <c:majorTickMark val="none"/>
        <c:minorTickMark val="none"/>
        <c:tickLblPos val="low"/>
        <c:txPr>
          <a:bodyPr rot="0" vert="horz"/>
          <a:lstStyle/>
          <a:p>
            <a:pPr>
              <a:defRPr/>
            </a:pPr>
            <a:endParaRPr lang="en-US"/>
          </a:p>
        </c:txPr>
        <c:crossAx val="133309568"/>
        <c:crosses val="autoZero"/>
        <c:auto val="1"/>
        <c:lblAlgn val="ctr"/>
        <c:lblOffset val="100"/>
        <c:tickLblSkip val="1"/>
        <c:tickMarkSkip val="1"/>
        <c:noMultiLvlLbl val="0"/>
      </c:catAx>
      <c:valAx>
        <c:axId val="133309568"/>
        <c:scaling>
          <c:orientation val="minMax"/>
        </c:scaling>
        <c:delete val="0"/>
        <c:axPos val="l"/>
        <c:majorGridlines/>
        <c:numFmt formatCode="_(* #,##0_);_(* \(#,##0\);_(* &quot;-&quot;??_);_(@_)" sourceLinked="1"/>
        <c:majorTickMark val="out"/>
        <c:minorTickMark val="none"/>
        <c:tickLblPos val="nextTo"/>
        <c:crossAx val="13490688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ESS!$E$3:$G$3</c:f>
              <c:numCache>
                <c:formatCode>General</c:formatCode>
                <c:ptCount val="3"/>
                <c:pt idx="0">
                  <c:v>2012</c:v>
                </c:pt>
                <c:pt idx="1">
                  <c:v>2013</c:v>
                </c:pt>
                <c:pt idx="2">
                  <c:v>2014</c:v>
                </c:pt>
              </c:numCache>
            </c:numRef>
          </c:cat>
          <c:val>
            <c:numRef>
              <c:f>ESS!$E$7:$G$7</c:f>
              <c:numCache>
                <c:formatCode>_(* #,##0_);_(* \(#,##0\);_(* "-"??_);_(@_)</c:formatCode>
                <c:ptCount val="3"/>
                <c:pt idx="0">
                  <c:v>16794647</c:v>
                </c:pt>
                <c:pt idx="1">
                  <c:v>14281407</c:v>
                </c:pt>
                <c:pt idx="2">
                  <c:v>13376132.5</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ESS!$E$3:$G$3</c:f>
              <c:numCache>
                <c:formatCode>General</c:formatCode>
                <c:ptCount val="3"/>
                <c:pt idx="0">
                  <c:v>2012</c:v>
                </c:pt>
                <c:pt idx="1">
                  <c:v>2013</c:v>
                </c:pt>
                <c:pt idx="2">
                  <c:v>2014</c:v>
                </c:pt>
              </c:numCache>
            </c:numRef>
          </c:cat>
          <c:val>
            <c:numRef>
              <c:f>ESS!$E$6:$G$6</c:f>
              <c:numCache>
                <c:formatCode>_(* #,##0_);_(* \(#,##0\);_(* "-"??_);_(@_)</c:formatCode>
                <c:ptCount val="3"/>
                <c:pt idx="0">
                  <c:v>17964834</c:v>
                </c:pt>
                <c:pt idx="1">
                  <c:v>15961894</c:v>
                </c:pt>
                <c:pt idx="2">
                  <c:v>14373132.5</c:v>
                </c:pt>
              </c:numCache>
            </c:numRef>
          </c:val>
        </c:ser>
        <c:dLbls>
          <c:showLegendKey val="0"/>
          <c:showVal val="1"/>
          <c:showCatName val="0"/>
          <c:showSerName val="0"/>
          <c:showPercent val="0"/>
          <c:showBubbleSize val="0"/>
        </c:dLbls>
        <c:gapWidth val="150"/>
        <c:axId val="135448064"/>
        <c:axId val="133311872"/>
      </c:barChart>
      <c:catAx>
        <c:axId val="135448064"/>
        <c:scaling>
          <c:orientation val="minMax"/>
        </c:scaling>
        <c:delete val="0"/>
        <c:axPos val="b"/>
        <c:numFmt formatCode="General" sourceLinked="1"/>
        <c:majorTickMark val="none"/>
        <c:minorTickMark val="none"/>
        <c:tickLblPos val="nextTo"/>
        <c:txPr>
          <a:bodyPr rot="0" vert="horz"/>
          <a:lstStyle/>
          <a:p>
            <a:pPr>
              <a:defRPr/>
            </a:pPr>
            <a:endParaRPr lang="en-US"/>
          </a:p>
        </c:txPr>
        <c:crossAx val="133311872"/>
        <c:crosses val="autoZero"/>
        <c:auto val="1"/>
        <c:lblAlgn val="ctr"/>
        <c:lblOffset val="100"/>
        <c:tickLblSkip val="1"/>
        <c:tickMarkSkip val="1"/>
        <c:noMultiLvlLbl val="0"/>
      </c:catAx>
      <c:valAx>
        <c:axId val="133311872"/>
        <c:scaling>
          <c:orientation val="minMax"/>
        </c:scaling>
        <c:delete val="0"/>
        <c:axPos val="l"/>
        <c:numFmt formatCode="_(* #,##0_);_(* \(#,##0\);_(* &quot;-&quot;??_);_(@_)" sourceLinked="1"/>
        <c:majorTickMark val="none"/>
        <c:minorTickMark val="none"/>
        <c:tickLblPos val="none"/>
        <c:crossAx val="13544806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HCS!$J$3</c:f>
              <c:strCache>
                <c:ptCount val="1"/>
                <c:pt idx="0">
                  <c:v>2012</c:v>
                </c:pt>
              </c:strCache>
            </c:strRef>
          </c:tx>
          <c:marker>
            <c:symbol val="square"/>
            <c:size val="5"/>
          </c:marker>
          <c:cat>
            <c:strLit>
              <c:ptCount val="4"/>
              <c:pt idx="0">
                <c:v>Q1</c:v>
              </c:pt>
              <c:pt idx="1">
                <c:v> Q2</c:v>
              </c:pt>
              <c:pt idx="2">
                <c:v> Q3</c:v>
              </c:pt>
              <c:pt idx="3">
                <c:v> Year-End</c:v>
              </c:pt>
            </c:strLit>
          </c:cat>
          <c:val>
            <c:numRef>
              <c:f>HCS!$J$5:$J$8</c:f>
              <c:numCache>
                <c:formatCode>_(* #,##0_);_(* \(#,##0\);_(* "-"??_);_(@_)</c:formatCode>
                <c:ptCount val="4"/>
                <c:pt idx="1">
                  <c:v>0</c:v>
                </c:pt>
                <c:pt idx="2">
                  <c:v>251000</c:v>
                </c:pt>
                <c:pt idx="3">
                  <c:v>467549</c:v>
                </c:pt>
              </c:numCache>
            </c:numRef>
          </c:val>
          <c:smooth val="0"/>
        </c:ser>
        <c:ser>
          <c:idx val="0"/>
          <c:order val="1"/>
          <c:tx>
            <c:strRef>
              <c:f>HCS!$K$3</c:f>
              <c:strCache>
                <c:ptCount val="1"/>
                <c:pt idx="0">
                  <c:v>2013</c:v>
                </c:pt>
              </c:strCache>
            </c:strRef>
          </c:tx>
          <c:cat>
            <c:strLit>
              <c:ptCount val="4"/>
              <c:pt idx="0">
                <c:v>Q1</c:v>
              </c:pt>
              <c:pt idx="1">
                <c:v> Q2</c:v>
              </c:pt>
              <c:pt idx="2">
                <c:v> Q3</c:v>
              </c:pt>
              <c:pt idx="3">
                <c:v> Year-End</c:v>
              </c:pt>
            </c:strLit>
          </c:cat>
          <c:val>
            <c:numRef>
              <c:f>HCS!$K$5:$K$8</c:f>
              <c:numCache>
                <c:formatCode>_(* #,##0_);_(* \(#,##0\);_(* "-"??_);_(@_)</c:formatCode>
                <c:ptCount val="4"/>
                <c:pt idx="1">
                  <c:v>247000</c:v>
                </c:pt>
                <c:pt idx="2">
                  <c:v>1013000</c:v>
                </c:pt>
                <c:pt idx="3">
                  <c:v>1241539</c:v>
                </c:pt>
              </c:numCache>
            </c:numRef>
          </c:val>
          <c:smooth val="0"/>
        </c:ser>
        <c:ser>
          <c:idx val="1"/>
          <c:order val="2"/>
          <c:tx>
            <c:strRef>
              <c:f>HCS!$L$3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HCS!$L$5:$L$8</c:f>
              <c:numCache>
                <c:formatCode>_(* #,##0_);_(* \(#,##0\);_(* "-"??_);_(@_)</c:formatCode>
                <c:ptCount val="4"/>
                <c:pt idx="0">
                  <c:v>0</c:v>
                </c:pt>
                <c:pt idx="1">
                  <c:v>191000</c:v>
                </c:pt>
                <c:pt idx="2">
                  <c:v>359000</c:v>
                </c:pt>
              </c:numCache>
            </c:numRef>
          </c:val>
          <c:smooth val="0"/>
        </c:ser>
        <c:dLbls>
          <c:showLegendKey val="0"/>
          <c:showVal val="0"/>
          <c:showCatName val="0"/>
          <c:showSerName val="0"/>
          <c:showPercent val="0"/>
          <c:showBubbleSize val="0"/>
        </c:dLbls>
        <c:marker val="1"/>
        <c:smooth val="0"/>
        <c:axId val="135089664"/>
        <c:axId val="133314176"/>
      </c:lineChart>
      <c:catAx>
        <c:axId val="135089664"/>
        <c:scaling>
          <c:orientation val="minMax"/>
        </c:scaling>
        <c:delete val="0"/>
        <c:axPos val="b"/>
        <c:numFmt formatCode="General" sourceLinked="1"/>
        <c:majorTickMark val="none"/>
        <c:minorTickMark val="none"/>
        <c:tickLblPos val="low"/>
        <c:txPr>
          <a:bodyPr rot="0" vert="horz"/>
          <a:lstStyle/>
          <a:p>
            <a:pPr>
              <a:defRPr/>
            </a:pPr>
            <a:endParaRPr lang="en-US"/>
          </a:p>
        </c:txPr>
        <c:crossAx val="133314176"/>
        <c:crosses val="autoZero"/>
        <c:auto val="1"/>
        <c:lblAlgn val="ctr"/>
        <c:lblOffset val="100"/>
        <c:tickLblSkip val="1"/>
        <c:tickMarkSkip val="1"/>
        <c:noMultiLvlLbl val="0"/>
      </c:catAx>
      <c:valAx>
        <c:axId val="133314176"/>
        <c:scaling>
          <c:orientation val="minMax"/>
        </c:scaling>
        <c:delete val="0"/>
        <c:axPos val="l"/>
        <c:majorGridlines/>
        <c:numFmt formatCode="_(* #,##0_);_(* \(#,##0\);_(* &quot;-&quot;??_);_(@_)" sourceLinked="1"/>
        <c:majorTickMark val="out"/>
        <c:minorTickMark val="none"/>
        <c:tickLblPos val="nextTo"/>
        <c:crossAx val="13508966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layout/>
      <c:overlay val="0"/>
    </c:title>
    <c:autoTitleDeleted val="0"/>
    <c:plotArea>
      <c:layout/>
      <c:barChart>
        <c:barDir val="col"/>
        <c:grouping val="clustered"/>
        <c:varyColors val="0"/>
        <c:ser>
          <c:idx val="2"/>
          <c:order val="0"/>
          <c:tx>
            <c:v>Actuals</c:v>
          </c:tx>
          <c:invertIfNegative val="0"/>
          <c:dLbls>
            <c:dLbl>
              <c:idx val="0"/>
              <c:layout>
                <c:manualLayout>
                  <c:x val="-7.6690821256042638E-3"/>
                  <c:y val="0"/>
                </c:manualLayout>
              </c:layout>
              <c:dLblPos val="outEnd"/>
              <c:showLegendKey val="0"/>
              <c:showVal val="1"/>
              <c:showCatName val="0"/>
              <c:showSerName val="0"/>
              <c:showPercent val="0"/>
              <c:showBubbleSize val="0"/>
            </c:dLbl>
            <c:dLbl>
              <c:idx val="1"/>
              <c:layout>
                <c:manualLayout>
                  <c:x val="-6.3212202963108524E-3"/>
                  <c:y val="7.0700830904429834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378E-2"/>
                  <c:y val="-1.5325476311581059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CAS!$E$3:$G$3</c:f>
              <c:numCache>
                <c:formatCode>General</c:formatCode>
                <c:ptCount val="3"/>
                <c:pt idx="0">
                  <c:v>2012</c:v>
                </c:pt>
                <c:pt idx="1">
                  <c:v>2013</c:v>
                </c:pt>
                <c:pt idx="2">
                  <c:v>2014</c:v>
                </c:pt>
              </c:numCache>
            </c:numRef>
          </c:cat>
          <c:val>
            <c:numRef>
              <c:f>CAS!$E$7:$G$7</c:f>
              <c:numCache>
                <c:formatCode>_(* #,##0_);_(* \(#,##0\);_(* "-"??_);_(@_)</c:formatCode>
                <c:ptCount val="3"/>
                <c:pt idx="0">
                  <c:v>788030</c:v>
                </c:pt>
                <c:pt idx="1">
                  <c:v>738809</c:v>
                </c:pt>
                <c:pt idx="2">
                  <c:v>721424</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774E-4"/>
                </c:manualLayout>
              </c:layout>
              <c:dLblPos val="outEnd"/>
              <c:showLegendKey val="0"/>
              <c:showVal val="1"/>
              <c:showCatName val="0"/>
              <c:showSerName val="0"/>
              <c:showPercent val="0"/>
              <c:showBubbleSize val="0"/>
            </c:dLbl>
            <c:dLbl>
              <c:idx val="3"/>
              <c:layout>
                <c:manualLayout>
                  <c:x val="2.6841787439615981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CAS!$E$3:$G$3</c:f>
              <c:numCache>
                <c:formatCode>General</c:formatCode>
                <c:ptCount val="3"/>
                <c:pt idx="0">
                  <c:v>2012</c:v>
                </c:pt>
                <c:pt idx="1">
                  <c:v>2013</c:v>
                </c:pt>
                <c:pt idx="2">
                  <c:v>2014</c:v>
                </c:pt>
              </c:numCache>
            </c:numRef>
          </c:cat>
          <c:val>
            <c:numRef>
              <c:f>CAS!$E$6:$G$6</c:f>
              <c:numCache>
                <c:formatCode>_(* #,##0_);_(* \(#,##0\);_(* "-"??_);_(@_)</c:formatCode>
                <c:ptCount val="3"/>
                <c:pt idx="0">
                  <c:v>798453</c:v>
                </c:pt>
                <c:pt idx="1">
                  <c:v>741281</c:v>
                </c:pt>
                <c:pt idx="2">
                  <c:v>721424</c:v>
                </c:pt>
              </c:numCache>
            </c:numRef>
          </c:val>
        </c:ser>
        <c:dLbls>
          <c:showLegendKey val="0"/>
          <c:showVal val="1"/>
          <c:showCatName val="0"/>
          <c:showSerName val="0"/>
          <c:showPercent val="0"/>
          <c:showBubbleSize val="0"/>
        </c:dLbls>
        <c:gapWidth val="150"/>
        <c:axId val="98673152"/>
        <c:axId val="74988288"/>
      </c:barChart>
      <c:catAx>
        <c:axId val="98673152"/>
        <c:scaling>
          <c:orientation val="minMax"/>
        </c:scaling>
        <c:delete val="0"/>
        <c:axPos val="b"/>
        <c:numFmt formatCode="General" sourceLinked="1"/>
        <c:majorTickMark val="none"/>
        <c:minorTickMark val="none"/>
        <c:tickLblPos val="nextTo"/>
        <c:txPr>
          <a:bodyPr rot="0" vert="horz"/>
          <a:lstStyle/>
          <a:p>
            <a:pPr>
              <a:defRPr/>
            </a:pPr>
            <a:endParaRPr lang="en-US"/>
          </a:p>
        </c:txPr>
        <c:crossAx val="74988288"/>
        <c:crosses val="autoZero"/>
        <c:auto val="1"/>
        <c:lblAlgn val="ctr"/>
        <c:lblOffset val="100"/>
        <c:tickLblSkip val="1"/>
        <c:tickMarkSkip val="1"/>
        <c:noMultiLvlLbl val="0"/>
      </c:catAx>
      <c:valAx>
        <c:axId val="74988288"/>
        <c:scaling>
          <c:orientation val="minMax"/>
        </c:scaling>
        <c:delete val="0"/>
        <c:axPos val="l"/>
        <c:numFmt formatCode="_(* #,##0_);_(* \(#,##0\);_(* &quot;-&quot;??_);_(@_)" sourceLinked="1"/>
        <c:majorTickMark val="none"/>
        <c:minorTickMark val="none"/>
        <c:tickLblPos val="none"/>
        <c:crossAx val="98673152"/>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1.2746921481979197E-2"/>
                  <c:y val="7.0700830904429105E-3"/>
                </c:manualLayout>
              </c:layout>
              <c:dLblPos val="outEnd"/>
              <c:showLegendKey val="0"/>
              <c:showVal val="1"/>
              <c:showCatName val="0"/>
              <c:showSerName val="0"/>
              <c:showPercent val="0"/>
              <c:showBubbleSize val="0"/>
            </c:dLbl>
            <c:dLbl>
              <c:idx val="2"/>
              <c:layout>
                <c:manualLayout>
                  <c:x val="-3.1402452290433598E-2"/>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HCS!$E$3:$G$3</c:f>
              <c:numCache>
                <c:formatCode>General</c:formatCode>
                <c:ptCount val="3"/>
                <c:pt idx="0">
                  <c:v>2012</c:v>
                </c:pt>
                <c:pt idx="1">
                  <c:v>2013</c:v>
                </c:pt>
                <c:pt idx="2">
                  <c:v>2014</c:v>
                </c:pt>
              </c:numCache>
            </c:numRef>
          </c:cat>
          <c:val>
            <c:numRef>
              <c:f>HCS!$E$7:$G$7</c:f>
              <c:numCache>
                <c:formatCode>_(* #,##0_);_(* \(#,##0\);_(* "-"??_);_(@_)</c:formatCode>
                <c:ptCount val="3"/>
                <c:pt idx="0">
                  <c:v>20733981</c:v>
                </c:pt>
                <c:pt idx="1">
                  <c:v>19909307</c:v>
                </c:pt>
                <c:pt idx="2">
                  <c:v>20993757.739999995</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HCS!$E$3:$G$3</c:f>
              <c:numCache>
                <c:formatCode>General</c:formatCode>
                <c:ptCount val="3"/>
                <c:pt idx="0">
                  <c:v>2012</c:v>
                </c:pt>
                <c:pt idx="1">
                  <c:v>2013</c:v>
                </c:pt>
                <c:pt idx="2">
                  <c:v>2014</c:v>
                </c:pt>
              </c:numCache>
            </c:numRef>
          </c:cat>
          <c:val>
            <c:numRef>
              <c:f>HCS!$E$6:$G$6</c:f>
              <c:numCache>
                <c:formatCode>_(* #,##0_);_(* \(#,##0\);_(* "-"??_);_(@_)</c:formatCode>
                <c:ptCount val="3"/>
                <c:pt idx="0">
                  <c:v>21201530</c:v>
                </c:pt>
                <c:pt idx="1">
                  <c:v>21150846</c:v>
                </c:pt>
                <c:pt idx="2">
                  <c:v>21184757.739999995</c:v>
                </c:pt>
              </c:numCache>
            </c:numRef>
          </c:val>
        </c:ser>
        <c:dLbls>
          <c:showLegendKey val="0"/>
          <c:showVal val="1"/>
          <c:showCatName val="0"/>
          <c:showSerName val="0"/>
          <c:showPercent val="0"/>
          <c:showBubbleSize val="0"/>
        </c:dLbls>
        <c:gapWidth val="150"/>
        <c:axId val="140509696"/>
        <c:axId val="135684096"/>
      </c:barChart>
      <c:catAx>
        <c:axId val="140509696"/>
        <c:scaling>
          <c:orientation val="minMax"/>
        </c:scaling>
        <c:delete val="0"/>
        <c:axPos val="b"/>
        <c:numFmt formatCode="General" sourceLinked="1"/>
        <c:majorTickMark val="none"/>
        <c:minorTickMark val="none"/>
        <c:tickLblPos val="nextTo"/>
        <c:txPr>
          <a:bodyPr rot="0" vert="horz"/>
          <a:lstStyle/>
          <a:p>
            <a:pPr>
              <a:defRPr/>
            </a:pPr>
            <a:endParaRPr lang="en-US"/>
          </a:p>
        </c:txPr>
        <c:crossAx val="135684096"/>
        <c:crosses val="autoZero"/>
        <c:auto val="1"/>
        <c:lblAlgn val="ctr"/>
        <c:lblOffset val="100"/>
        <c:tickLblSkip val="1"/>
        <c:tickMarkSkip val="1"/>
        <c:noMultiLvlLbl val="0"/>
      </c:catAx>
      <c:valAx>
        <c:axId val="135684096"/>
        <c:scaling>
          <c:orientation val="minMax"/>
        </c:scaling>
        <c:delete val="0"/>
        <c:axPos val="l"/>
        <c:numFmt formatCode="_(* #,##0_);_(* \(#,##0\);_(* &quot;-&quot;??_);_(@_)" sourceLinked="1"/>
        <c:majorTickMark val="none"/>
        <c:minorTickMark val="none"/>
        <c:tickLblPos val="none"/>
        <c:crossAx val="14050969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HL!$J$3</c:f>
              <c:strCache>
                <c:ptCount val="1"/>
                <c:pt idx="0">
                  <c:v>2012</c:v>
                </c:pt>
              </c:strCache>
            </c:strRef>
          </c:tx>
          <c:marker>
            <c:symbol val="square"/>
            <c:size val="5"/>
          </c:marker>
          <c:cat>
            <c:strLit>
              <c:ptCount val="4"/>
              <c:pt idx="0">
                <c:v>Q1</c:v>
              </c:pt>
              <c:pt idx="1">
                <c:v> Q2</c:v>
              </c:pt>
              <c:pt idx="2">
                <c:v> Q3</c:v>
              </c:pt>
              <c:pt idx="3">
                <c:v> Year-End</c:v>
              </c:pt>
            </c:strLit>
          </c:cat>
          <c:val>
            <c:numRef>
              <c:f>HL!$J$5:$J$8</c:f>
              <c:numCache>
                <c:formatCode>_(* #,##0_);_(* \(#,##0\);_(* "-"??_);_(@_)</c:formatCode>
                <c:ptCount val="4"/>
                <c:pt idx="1">
                  <c:v>0</c:v>
                </c:pt>
                <c:pt idx="2">
                  <c:v>0</c:v>
                </c:pt>
                <c:pt idx="3">
                  <c:v>-121759</c:v>
                </c:pt>
              </c:numCache>
            </c:numRef>
          </c:val>
          <c:smooth val="0"/>
        </c:ser>
        <c:ser>
          <c:idx val="0"/>
          <c:order val="1"/>
          <c:tx>
            <c:strRef>
              <c:f>HL!$K$3</c:f>
              <c:strCache>
                <c:ptCount val="1"/>
                <c:pt idx="0">
                  <c:v>2013</c:v>
                </c:pt>
              </c:strCache>
            </c:strRef>
          </c:tx>
          <c:cat>
            <c:strLit>
              <c:ptCount val="4"/>
              <c:pt idx="0">
                <c:v>Q1</c:v>
              </c:pt>
              <c:pt idx="1">
                <c:v> Q2</c:v>
              </c:pt>
              <c:pt idx="2">
                <c:v> Q3</c:v>
              </c:pt>
              <c:pt idx="3">
                <c:v> Year-End</c:v>
              </c:pt>
            </c:strLit>
          </c:cat>
          <c:val>
            <c:numRef>
              <c:f>HL!$K$5:$K$8</c:f>
              <c:numCache>
                <c:formatCode>_(* #,##0_);_(* \(#,##0\);_(* "-"??_);_(@_)</c:formatCode>
                <c:ptCount val="4"/>
                <c:pt idx="1">
                  <c:v>-258000</c:v>
                </c:pt>
                <c:pt idx="2">
                  <c:v>-233000</c:v>
                </c:pt>
                <c:pt idx="3">
                  <c:v>-106857</c:v>
                </c:pt>
              </c:numCache>
            </c:numRef>
          </c:val>
          <c:smooth val="0"/>
        </c:ser>
        <c:ser>
          <c:idx val="1"/>
          <c:order val="2"/>
          <c:tx>
            <c:strRef>
              <c:f>HL!$L$3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HL!$L$5:$L$8</c:f>
              <c:numCache>
                <c:formatCode>_(* #,##0_);_(* \(#,##0\);_(* "-"??_);_(@_)</c:formatCode>
                <c:ptCount val="4"/>
                <c:pt idx="0">
                  <c:v>0</c:v>
                </c:pt>
                <c:pt idx="1">
                  <c:v>-182000</c:v>
                </c:pt>
                <c:pt idx="2">
                  <c:v>-23000</c:v>
                </c:pt>
              </c:numCache>
            </c:numRef>
          </c:val>
          <c:smooth val="0"/>
        </c:ser>
        <c:dLbls>
          <c:showLegendKey val="0"/>
          <c:showVal val="0"/>
          <c:showCatName val="0"/>
          <c:showSerName val="0"/>
          <c:showPercent val="0"/>
          <c:showBubbleSize val="0"/>
        </c:dLbls>
        <c:marker val="1"/>
        <c:smooth val="0"/>
        <c:axId val="135449088"/>
        <c:axId val="135686976"/>
      </c:lineChart>
      <c:catAx>
        <c:axId val="135449088"/>
        <c:scaling>
          <c:orientation val="minMax"/>
        </c:scaling>
        <c:delete val="0"/>
        <c:axPos val="b"/>
        <c:numFmt formatCode="General" sourceLinked="1"/>
        <c:majorTickMark val="none"/>
        <c:minorTickMark val="none"/>
        <c:tickLblPos val="low"/>
        <c:txPr>
          <a:bodyPr rot="0" vert="horz"/>
          <a:lstStyle/>
          <a:p>
            <a:pPr>
              <a:defRPr/>
            </a:pPr>
            <a:endParaRPr lang="en-US"/>
          </a:p>
        </c:txPr>
        <c:crossAx val="135686976"/>
        <c:crosses val="autoZero"/>
        <c:auto val="1"/>
        <c:lblAlgn val="ctr"/>
        <c:lblOffset val="100"/>
        <c:tickLblSkip val="1"/>
        <c:tickMarkSkip val="1"/>
        <c:noMultiLvlLbl val="0"/>
      </c:catAx>
      <c:valAx>
        <c:axId val="135686976"/>
        <c:scaling>
          <c:orientation val="minMax"/>
        </c:scaling>
        <c:delete val="0"/>
        <c:axPos val="l"/>
        <c:majorGridlines/>
        <c:numFmt formatCode="_(* #,##0_);_(* \(#,##0\);_(* &quot;-&quot;??_);_(@_)" sourceLinked="1"/>
        <c:majorTickMark val="out"/>
        <c:minorTickMark val="none"/>
        <c:tickLblPos val="nextTo"/>
        <c:crossAx val="13544908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HL!$E$3:$G$3</c:f>
              <c:numCache>
                <c:formatCode>General</c:formatCode>
                <c:ptCount val="3"/>
                <c:pt idx="0">
                  <c:v>2012</c:v>
                </c:pt>
                <c:pt idx="1">
                  <c:v>2013</c:v>
                </c:pt>
                <c:pt idx="2">
                  <c:v>2014</c:v>
                </c:pt>
              </c:numCache>
            </c:numRef>
          </c:cat>
          <c:val>
            <c:numRef>
              <c:f>HL!$E$7:$G$7</c:f>
              <c:numCache>
                <c:formatCode>_(* #,##0_);_(* \(#,##0\);_(* "-"??_);_(@_)</c:formatCode>
                <c:ptCount val="3"/>
                <c:pt idx="0">
                  <c:v>7486921</c:v>
                </c:pt>
                <c:pt idx="1">
                  <c:v>7904764</c:v>
                </c:pt>
                <c:pt idx="2">
                  <c:v>7665874</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HL!$E$3:$G$3</c:f>
              <c:numCache>
                <c:formatCode>General</c:formatCode>
                <c:ptCount val="3"/>
                <c:pt idx="0">
                  <c:v>2012</c:v>
                </c:pt>
                <c:pt idx="1">
                  <c:v>2013</c:v>
                </c:pt>
                <c:pt idx="2">
                  <c:v>2014</c:v>
                </c:pt>
              </c:numCache>
            </c:numRef>
          </c:cat>
          <c:val>
            <c:numRef>
              <c:f>HL!$E$6:$G$6</c:f>
              <c:numCache>
                <c:formatCode>_(* #,##0_);_(* \(#,##0\);_(* "-"??_);_(@_)</c:formatCode>
                <c:ptCount val="3"/>
                <c:pt idx="0">
                  <c:v>7365162</c:v>
                </c:pt>
                <c:pt idx="1">
                  <c:v>7797907</c:v>
                </c:pt>
                <c:pt idx="2">
                  <c:v>7483874</c:v>
                </c:pt>
              </c:numCache>
            </c:numRef>
          </c:val>
        </c:ser>
        <c:dLbls>
          <c:showLegendKey val="0"/>
          <c:showVal val="1"/>
          <c:showCatName val="0"/>
          <c:showSerName val="0"/>
          <c:showPercent val="0"/>
          <c:showBubbleSize val="0"/>
        </c:dLbls>
        <c:gapWidth val="150"/>
        <c:axId val="135426048"/>
        <c:axId val="135689280"/>
      </c:barChart>
      <c:catAx>
        <c:axId val="135426048"/>
        <c:scaling>
          <c:orientation val="minMax"/>
        </c:scaling>
        <c:delete val="0"/>
        <c:axPos val="b"/>
        <c:numFmt formatCode="General" sourceLinked="1"/>
        <c:majorTickMark val="none"/>
        <c:minorTickMark val="none"/>
        <c:tickLblPos val="nextTo"/>
        <c:txPr>
          <a:bodyPr rot="0" vert="horz"/>
          <a:lstStyle/>
          <a:p>
            <a:pPr>
              <a:defRPr/>
            </a:pPr>
            <a:endParaRPr lang="en-US"/>
          </a:p>
        </c:txPr>
        <c:crossAx val="135689280"/>
        <c:crosses val="autoZero"/>
        <c:auto val="1"/>
        <c:lblAlgn val="ctr"/>
        <c:lblOffset val="100"/>
        <c:tickLblSkip val="1"/>
        <c:tickMarkSkip val="1"/>
        <c:noMultiLvlLbl val="0"/>
      </c:catAx>
      <c:valAx>
        <c:axId val="135689280"/>
        <c:scaling>
          <c:orientation val="minMax"/>
        </c:scaling>
        <c:delete val="0"/>
        <c:axPos val="l"/>
        <c:numFmt formatCode="_(* #,##0_);_(* \(#,##0\);_(* &quot;-&quot;??_);_(@_)" sourceLinked="1"/>
        <c:majorTickMark val="none"/>
        <c:minorTickMark val="none"/>
        <c:tickLblPos val="none"/>
        <c:crossAx val="13542604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'RC'!$J$3</c:f>
              <c:strCache>
                <c:ptCount val="1"/>
                <c:pt idx="0">
                  <c:v>2012</c:v>
                </c:pt>
              </c:strCache>
            </c:strRef>
          </c:tx>
          <c:marker>
            <c:symbol val="square"/>
            <c:size val="5"/>
          </c:marker>
          <c:cat>
            <c:strLit>
              <c:ptCount val="4"/>
              <c:pt idx="0">
                <c:v>Q1</c:v>
              </c:pt>
              <c:pt idx="1">
                <c:v> Q2</c:v>
              </c:pt>
              <c:pt idx="2">
                <c:v> Q3</c:v>
              </c:pt>
              <c:pt idx="3">
                <c:v> Year-End</c:v>
              </c:pt>
            </c:strLit>
          </c:cat>
          <c:val>
            <c:numRef>
              <c:f>'RC'!$J$5:$J$8</c:f>
              <c:numCache>
                <c:formatCode>_(* #,##0_);_(* \(#,##0\);_(* "-"??_);_(@_)</c:formatCode>
                <c:ptCount val="4"/>
                <c:pt idx="1">
                  <c:v>-340000</c:v>
                </c:pt>
                <c:pt idx="2">
                  <c:v>-230000</c:v>
                </c:pt>
                <c:pt idx="3">
                  <c:v>-160597</c:v>
                </c:pt>
              </c:numCache>
            </c:numRef>
          </c:val>
          <c:smooth val="0"/>
        </c:ser>
        <c:ser>
          <c:idx val="0"/>
          <c:order val="1"/>
          <c:tx>
            <c:strRef>
              <c:f>'RC'!$K$3</c:f>
              <c:strCache>
                <c:ptCount val="1"/>
                <c:pt idx="0">
                  <c:v>2013</c:v>
                </c:pt>
              </c:strCache>
            </c:strRef>
          </c:tx>
          <c:cat>
            <c:strLit>
              <c:ptCount val="4"/>
              <c:pt idx="0">
                <c:v>Q1</c:v>
              </c:pt>
              <c:pt idx="1">
                <c:v> Q2</c:v>
              </c:pt>
              <c:pt idx="2">
                <c:v> Q3</c:v>
              </c:pt>
              <c:pt idx="3">
                <c:v> Year-End</c:v>
              </c:pt>
            </c:strLit>
          </c:cat>
          <c:val>
            <c:numRef>
              <c:f>'RC'!$K$5:$K$8</c:f>
              <c:numCache>
                <c:formatCode>_(* #,##0_);_(* \(#,##0\);_(* "-"??_);_(@_)</c:formatCode>
                <c:ptCount val="4"/>
                <c:pt idx="1">
                  <c:v>-150000</c:v>
                </c:pt>
                <c:pt idx="2">
                  <c:v>-150000</c:v>
                </c:pt>
                <c:pt idx="3">
                  <c:v>550453</c:v>
                </c:pt>
              </c:numCache>
            </c:numRef>
          </c:val>
          <c:smooth val="0"/>
        </c:ser>
        <c:ser>
          <c:idx val="1"/>
          <c:order val="2"/>
          <c:tx>
            <c:strRef>
              <c:f>'RC'!$L$3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'RC'!$L$5:$L$8</c:f>
              <c:numCache>
                <c:formatCode>_(* #,##0_);_(* \(#,##0\);_(* "-"??_);_(@_)</c:formatCode>
                <c:ptCount val="4"/>
                <c:pt idx="0">
                  <c:v>0</c:v>
                </c:pt>
                <c:pt idx="1">
                  <c:v>-610000</c:v>
                </c:pt>
                <c:pt idx="2">
                  <c:v>-795000</c:v>
                </c:pt>
              </c:numCache>
            </c:numRef>
          </c:val>
          <c:smooth val="0"/>
        </c:ser>
        <c:dLbls>
          <c:showLegendKey val="0"/>
          <c:showVal val="0"/>
          <c:showCatName val="0"/>
          <c:showSerName val="0"/>
          <c:showPercent val="0"/>
          <c:showBubbleSize val="0"/>
        </c:dLbls>
        <c:marker val="1"/>
        <c:smooth val="0"/>
        <c:axId val="135428096"/>
        <c:axId val="141672448"/>
      </c:lineChart>
      <c:catAx>
        <c:axId val="135428096"/>
        <c:scaling>
          <c:orientation val="minMax"/>
        </c:scaling>
        <c:delete val="0"/>
        <c:axPos val="b"/>
        <c:numFmt formatCode="General" sourceLinked="1"/>
        <c:majorTickMark val="none"/>
        <c:minorTickMark val="none"/>
        <c:tickLblPos val="low"/>
        <c:txPr>
          <a:bodyPr rot="0" vert="horz"/>
          <a:lstStyle/>
          <a:p>
            <a:pPr>
              <a:defRPr/>
            </a:pPr>
            <a:endParaRPr lang="en-US"/>
          </a:p>
        </c:txPr>
        <c:crossAx val="141672448"/>
        <c:crosses val="autoZero"/>
        <c:auto val="1"/>
        <c:lblAlgn val="ctr"/>
        <c:lblOffset val="100"/>
        <c:tickLblSkip val="1"/>
        <c:tickMarkSkip val="1"/>
        <c:noMultiLvlLbl val="0"/>
      </c:catAx>
      <c:valAx>
        <c:axId val="141672448"/>
        <c:scaling>
          <c:orientation val="minMax"/>
        </c:scaling>
        <c:delete val="0"/>
        <c:axPos val="l"/>
        <c:majorGridlines/>
        <c:numFmt formatCode="_(* #,##0_);_(* \(#,##0\);_(* &quot;-&quot;??_);_(@_)" sourceLinked="1"/>
        <c:majorTickMark val="out"/>
        <c:minorTickMark val="none"/>
        <c:tickLblPos val="nextTo"/>
        <c:crossAx val="13542809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'RC'!$E$3:$G$3</c:f>
              <c:numCache>
                <c:formatCode>General</c:formatCode>
                <c:ptCount val="3"/>
                <c:pt idx="0">
                  <c:v>2012</c:v>
                </c:pt>
                <c:pt idx="1">
                  <c:v>2013</c:v>
                </c:pt>
                <c:pt idx="2">
                  <c:v>2014</c:v>
                </c:pt>
              </c:numCache>
            </c:numRef>
          </c:cat>
          <c:val>
            <c:numRef>
              <c:f>'RC'!$E$7:$G$7</c:f>
              <c:numCache>
                <c:formatCode>_(* #,##0_);_(* \(#,##0\);_(* "-"??_);_(@_)</c:formatCode>
                <c:ptCount val="3"/>
                <c:pt idx="0">
                  <c:v>8943328</c:v>
                </c:pt>
                <c:pt idx="1">
                  <c:v>8494214</c:v>
                </c:pt>
                <c:pt idx="2">
                  <c:v>7661073</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'RC'!$E$3:$G$3</c:f>
              <c:numCache>
                <c:formatCode>General</c:formatCode>
                <c:ptCount val="3"/>
                <c:pt idx="0">
                  <c:v>2012</c:v>
                </c:pt>
                <c:pt idx="1">
                  <c:v>2013</c:v>
                </c:pt>
                <c:pt idx="2">
                  <c:v>2014</c:v>
                </c:pt>
              </c:numCache>
            </c:numRef>
          </c:cat>
          <c:val>
            <c:numRef>
              <c:f>'RC'!$E$6:$G$6</c:f>
              <c:numCache>
                <c:formatCode>_(* #,##0_);_(* \(#,##0\);_(* "-"??_);_(@_)</c:formatCode>
                <c:ptCount val="3"/>
                <c:pt idx="0">
                  <c:v>8782731</c:v>
                </c:pt>
                <c:pt idx="1">
                  <c:v>9044667</c:v>
                </c:pt>
                <c:pt idx="2">
                  <c:v>7051073</c:v>
                </c:pt>
              </c:numCache>
            </c:numRef>
          </c:val>
        </c:ser>
        <c:dLbls>
          <c:showLegendKey val="0"/>
          <c:showVal val="1"/>
          <c:showCatName val="0"/>
          <c:showSerName val="0"/>
          <c:showPercent val="0"/>
          <c:showBubbleSize val="0"/>
        </c:dLbls>
        <c:gapWidth val="150"/>
        <c:axId val="135429120"/>
        <c:axId val="141674752"/>
      </c:barChart>
      <c:catAx>
        <c:axId val="135429120"/>
        <c:scaling>
          <c:orientation val="minMax"/>
        </c:scaling>
        <c:delete val="0"/>
        <c:axPos val="b"/>
        <c:numFmt formatCode="General" sourceLinked="1"/>
        <c:majorTickMark val="none"/>
        <c:minorTickMark val="none"/>
        <c:tickLblPos val="nextTo"/>
        <c:txPr>
          <a:bodyPr rot="0" vert="horz"/>
          <a:lstStyle/>
          <a:p>
            <a:pPr>
              <a:defRPr/>
            </a:pPr>
            <a:endParaRPr lang="en-US"/>
          </a:p>
        </c:txPr>
        <c:crossAx val="141674752"/>
        <c:crosses val="autoZero"/>
        <c:auto val="1"/>
        <c:lblAlgn val="ctr"/>
        <c:lblOffset val="100"/>
        <c:tickLblSkip val="1"/>
        <c:tickMarkSkip val="1"/>
        <c:noMultiLvlLbl val="0"/>
      </c:catAx>
      <c:valAx>
        <c:axId val="141674752"/>
        <c:scaling>
          <c:orientation val="minMax"/>
        </c:scaling>
        <c:delete val="0"/>
        <c:axPos val="l"/>
        <c:numFmt formatCode="_(* #,##0_);_(* \(#,##0\);_(* &quot;-&quot;??_);_(@_)" sourceLinked="1"/>
        <c:majorTickMark val="none"/>
        <c:minorTickMark val="none"/>
        <c:tickLblPos val="none"/>
        <c:crossAx val="13542912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WPS!$J$3</c:f>
              <c:strCache>
                <c:ptCount val="1"/>
                <c:pt idx="0">
                  <c:v>2012</c:v>
                </c:pt>
              </c:strCache>
            </c:strRef>
          </c:tx>
          <c:marker>
            <c:symbol val="square"/>
            <c:size val="5"/>
          </c:marker>
          <c:cat>
            <c:strLit>
              <c:ptCount val="4"/>
              <c:pt idx="0">
                <c:v>Q1</c:v>
              </c:pt>
              <c:pt idx="1">
                <c:v> Q2</c:v>
              </c:pt>
              <c:pt idx="2">
                <c:v> Q3</c:v>
              </c:pt>
              <c:pt idx="3">
                <c:v> Year-End</c:v>
              </c:pt>
            </c:strLit>
          </c:cat>
          <c:val>
            <c:numRef>
              <c:f>WPS!$J$5:$J$8</c:f>
              <c:numCache>
                <c:formatCode>_(* #,##0_);_(* \(#,##0\);_(* "-"??_);_(@_)</c:formatCode>
                <c:ptCount val="4"/>
                <c:pt idx="1">
                  <c:v>0</c:v>
                </c:pt>
                <c:pt idx="2">
                  <c:v>0</c:v>
                </c:pt>
                <c:pt idx="3">
                  <c:v>89971</c:v>
                </c:pt>
              </c:numCache>
            </c:numRef>
          </c:val>
          <c:smooth val="0"/>
        </c:ser>
        <c:ser>
          <c:idx val="0"/>
          <c:order val="1"/>
          <c:tx>
            <c:strRef>
              <c:f>WPS!$K$3</c:f>
              <c:strCache>
                <c:ptCount val="1"/>
                <c:pt idx="0">
                  <c:v>2013</c:v>
                </c:pt>
              </c:strCache>
            </c:strRef>
          </c:tx>
          <c:cat>
            <c:strLit>
              <c:ptCount val="4"/>
              <c:pt idx="0">
                <c:v>Q1</c:v>
              </c:pt>
              <c:pt idx="1">
                <c:v> Q2</c:v>
              </c:pt>
              <c:pt idx="2">
                <c:v> Q3</c:v>
              </c:pt>
              <c:pt idx="3">
                <c:v> Year-End</c:v>
              </c:pt>
            </c:strLit>
          </c:cat>
          <c:val>
            <c:numRef>
              <c:f>WPS!$K$5:$K$8</c:f>
              <c:numCache>
                <c:formatCode>_(* #,##0_);_(* \(#,##0\);_(* "-"??_);_(@_)</c:formatCode>
                <c:ptCount val="4"/>
                <c:pt idx="1">
                  <c:v>-470000</c:v>
                </c:pt>
                <c:pt idx="2">
                  <c:v>-470000</c:v>
                </c:pt>
                <c:pt idx="3">
                  <c:v>-626672</c:v>
                </c:pt>
              </c:numCache>
            </c:numRef>
          </c:val>
          <c:smooth val="0"/>
        </c:ser>
        <c:ser>
          <c:idx val="1"/>
          <c:order val="2"/>
          <c:tx>
            <c:strRef>
              <c:f>WPS!$L$3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WPS!$L$5:$L$8</c:f>
              <c:numCache>
                <c:formatCode>_(* #,##0_);_(* \(#,##0\);_(* "-"??_);_(@_)</c:formatCode>
                <c:ptCount val="4"/>
                <c:pt idx="0">
                  <c:v>-600000</c:v>
                </c:pt>
                <c:pt idx="1">
                  <c:v>-750000</c:v>
                </c:pt>
                <c:pt idx="2">
                  <c:v>-750000</c:v>
                </c:pt>
              </c:numCache>
            </c:numRef>
          </c:val>
          <c:smooth val="0"/>
        </c:ser>
        <c:dLbls>
          <c:showLegendKey val="0"/>
          <c:showVal val="0"/>
          <c:showCatName val="0"/>
          <c:showSerName val="0"/>
          <c:showPercent val="0"/>
          <c:showBubbleSize val="0"/>
        </c:dLbls>
        <c:marker val="1"/>
        <c:smooth val="0"/>
        <c:axId val="135427072"/>
        <c:axId val="141676480"/>
      </c:lineChart>
      <c:catAx>
        <c:axId val="135427072"/>
        <c:scaling>
          <c:orientation val="minMax"/>
        </c:scaling>
        <c:delete val="0"/>
        <c:axPos val="b"/>
        <c:numFmt formatCode="General" sourceLinked="1"/>
        <c:majorTickMark val="none"/>
        <c:minorTickMark val="none"/>
        <c:tickLblPos val="low"/>
        <c:txPr>
          <a:bodyPr rot="0" vert="horz"/>
          <a:lstStyle/>
          <a:p>
            <a:pPr>
              <a:defRPr/>
            </a:pPr>
            <a:endParaRPr lang="en-US"/>
          </a:p>
        </c:txPr>
        <c:crossAx val="141676480"/>
        <c:crosses val="autoZero"/>
        <c:auto val="1"/>
        <c:lblAlgn val="ctr"/>
        <c:lblOffset val="100"/>
        <c:tickLblSkip val="1"/>
        <c:tickMarkSkip val="1"/>
        <c:noMultiLvlLbl val="0"/>
      </c:catAx>
      <c:valAx>
        <c:axId val="141676480"/>
        <c:scaling>
          <c:orientation val="minMax"/>
        </c:scaling>
        <c:delete val="0"/>
        <c:axPos val="l"/>
        <c:majorGridlines/>
        <c:numFmt formatCode="_(* #,##0_);_(* \(#,##0\);_(* &quot;-&quot;??_);_(@_)" sourceLinked="1"/>
        <c:majorTickMark val="out"/>
        <c:minorTickMark val="none"/>
        <c:tickLblPos val="nextTo"/>
        <c:crossAx val="13542707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WPS!$E$3:$G$3</c:f>
              <c:numCache>
                <c:formatCode>General</c:formatCode>
                <c:ptCount val="3"/>
                <c:pt idx="0">
                  <c:v>2012</c:v>
                </c:pt>
                <c:pt idx="1">
                  <c:v>2013</c:v>
                </c:pt>
                <c:pt idx="2">
                  <c:v>2014</c:v>
                </c:pt>
              </c:numCache>
            </c:numRef>
          </c:cat>
          <c:val>
            <c:numRef>
              <c:f>WPS!$E$7:$G$7</c:f>
              <c:numCache>
                <c:formatCode>_(* #,##0_);_(* \(#,##0\);_(* "-"??_);_(@_)</c:formatCode>
                <c:ptCount val="3"/>
                <c:pt idx="0">
                  <c:v>68078115</c:v>
                </c:pt>
                <c:pt idx="1">
                  <c:v>72909629</c:v>
                </c:pt>
                <c:pt idx="2">
                  <c:v>74532957.680000007</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WPS!$E$3:$G$3</c:f>
              <c:numCache>
                <c:formatCode>General</c:formatCode>
                <c:ptCount val="3"/>
                <c:pt idx="0">
                  <c:v>2012</c:v>
                </c:pt>
                <c:pt idx="1">
                  <c:v>2013</c:v>
                </c:pt>
                <c:pt idx="2">
                  <c:v>2014</c:v>
                </c:pt>
              </c:numCache>
            </c:numRef>
          </c:cat>
          <c:val>
            <c:numRef>
              <c:f>WPS!$E$6:$G$6</c:f>
              <c:numCache>
                <c:formatCode>_(* #,##0_);_(* \(#,##0\);_(* "-"??_);_(@_)</c:formatCode>
                <c:ptCount val="3"/>
                <c:pt idx="0">
                  <c:v>68168086</c:v>
                </c:pt>
                <c:pt idx="1">
                  <c:v>72282957</c:v>
                </c:pt>
                <c:pt idx="2">
                  <c:v>73782957.680000007</c:v>
                </c:pt>
              </c:numCache>
            </c:numRef>
          </c:val>
        </c:ser>
        <c:dLbls>
          <c:showLegendKey val="0"/>
          <c:showVal val="1"/>
          <c:showCatName val="0"/>
          <c:showSerName val="0"/>
          <c:showPercent val="0"/>
          <c:showBubbleSize val="0"/>
        </c:dLbls>
        <c:gapWidth val="150"/>
        <c:axId val="142739968"/>
        <c:axId val="141678784"/>
      </c:barChart>
      <c:catAx>
        <c:axId val="142739968"/>
        <c:scaling>
          <c:orientation val="minMax"/>
        </c:scaling>
        <c:delete val="0"/>
        <c:axPos val="b"/>
        <c:numFmt formatCode="General" sourceLinked="1"/>
        <c:majorTickMark val="none"/>
        <c:minorTickMark val="none"/>
        <c:tickLblPos val="nextTo"/>
        <c:txPr>
          <a:bodyPr rot="0" vert="horz"/>
          <a:lstStyle/>
          <a:p>
            <a:pPr>
              <a:defRPr/>
            </a:pPr>
            <a:endParaRPr lang="en-US"/>
          </a:p>
        </c:txPr>
        <c:crossAx val="141678784"/>
        <c:crosses val="autoZero"/>
        <c:auto val="1"/>
        <c:lblAlgn val="ctr"/>
        <c:lblOffset val="100"/>
        <c:tickLblSkip val="1"/>
        <c:tickMarkSkip val="1"/>
        <c:noMultiLvlLbl val="0"/>
      </c:catAx>
      <c:valAx>
        <c:axId val="141678784"/>
        <c:scaling>
          <c:orientation val="minMax"/>
        </c:scaling>
        <c:delete val="0"/>
        <c:axPos val="l"/>
        <c:numFmt formatCode="_(* #,##0_);_(* \(#,##0\);_(* &quot;-&quot;??_);_(@_)" sourceLinked="1"/>
        <c:majorTickMark val="none"/>
        <c:minorTickMark val="none"/>
        <c:tickLblPos val="none"/>
        <c:crossAx val="14273996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TW!$J$3</c:f>
              <c:strCache>
                <c:ptCount val="1"/>
                <c:pt idx="0">
                  <c:v>2012</c:v>
                </c:pt>
              </c:strCache>
            </c:strRef>
          </c:tx>
          <c:marker>
            <c:symbol val="square"/>
            <c:size val="5"/>
          </c:marker>
          <c:cat>
            <c:strLit>
              <c:ptCount val="4"/>
              <c:pt idx="0">
                <c:v>Q1</c:v>
              </c:pt>
              <c:pt idx="1">
                <c:v> Q2</c:v>
              </c:pt>
              <c:pt idx="2">
                <c:v> Q3</c:v>
              </c:pt>
              <c:pt idx="3">
                <c:v> Year-End</c:v>
              </c:pt>
            </c:strLit>
          </c:cat>
          <c:val>
            <c:numRef>
              <c:f>TW!$J$5:$J$8</c:f>
              <c:numCache>
                <c:formatCode>_(* #,##0_);_(* \(#,##0\);_(* "-"??_);_(@_)</c:formatCode>
                <c:ptCount val="4"/>
                <c:pt idx="1">
                  <c:v>-562000</c:v>
                </c:pt>
                <c:pt idx="2">
                  <c:v>-464000</c:v>
                </c:pt>
                <c:pt idx="3">
                  <c:v>-413938</c:v>
                </c:pt>
              </c:numCache>
            </c:numRef>
          </c:val>
          <c:smooth val="0"/>
        </c:ser>
        <c:ser>
          <c:idx val="0"/>
          <c:order val="1"/>
          <c:tx>
            <c:strRef>
              <c:f>TW!$K$3</c:f>
              <c:strCache>
                <c:ptCount val="1"/>
                <c:pt idx="0">
                  <c:v>2013</c:v>
                </c:pt>
              </c:strCache>
            </c:strRef>
          </c:tx>
          <c:cat>
            <c:strLit>
              <c:ptCount val="4"/>
              <c:pt idx="0">
                <c:v>Q1</c:v>
              </c:pt>
              <c:pt idx="1">
                <c:v> Q2</c:v>
              </c:pt>
              <c:pt idx="2">
                <c:v> Q3</c:v>
              </c:pt>
              <c:pt idx="3">
                <c:v> Year-End</c:v>
              </c:pt>
            </c:strLit>
          </c:cat>
          <c:val>
            <c:numRef>
              <c:f>TW!$K$5:$K$8</c:f>
              <c:numCache>
                <c:formatCode>_(* #,##0_);_(* \(#,##0\);_(* "-"??_);_(@_)</c:formatCode>
                <c:ptCount val="4"/>
                <c:pt idx="1">
                  <c:v>-186000</c:v>
                </c:pt>
                <c:pt idx="2">
                  <c:v>-347000</c:v>
                </c:pt>
                <c:pt idx="3">
                  <c:v>-518278</c:v>
                </c:pt>
              </c:numCache>
            </c:numRef>
          </c:val>
          <c:smooth val="0"/>
        </c:ser>
        <c:ser>
          <c:idx val="1"/>
          <c:order val="2"/>
          <c:tx>
            <c:strRef>
              <c:f>TW!$L$3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TW!$L$5:$L$8</c:f>
              <c:numCache>
                <c:formatCode>_(* #,##0_);_(* \(#,##0\);_(* "-"??_);_(@_)</c:formatCode>
                <c:ptCount val="4"/>
                <c:pt idx="0">
                  <c:v>-420000</c:v>
                </c:pt>
                <c:pt idx="1">
                  <c:v>-294000</c:v>
                </c:pt>
                <c:pt idx="2">
                  <c:v>-408000</c:v>
                </c:pt>
              </c:numCache>
            </c:numRef>
          </c:val>
          <c:smooth val="0"/>
        </c:ser>
        <c:dLbls>
          <c:showLegendKey val="0"/>
          <c:showVal val="0"/>
          <c:showCatName val="0"/>
          <c:showSerName val="0"/>
          <c:showPercent val="0"/>
          <c:showBubbleSize val="0"/>
        </c:dLbls>
        <c:marker val="1"/>
        <c:smooth val="0"/>
        <c:axId val="142123008"/>
        <c:axId val="135341184"/>
      </c:lineChart>
      <c:catAx>
        <c:axId val="142123008"/>
        <c:scaling>
          <c:orientation val="minMax"/>
        </c:scaling>
        <c:delete val="0"/>
        <c:axPos val="b"/>
        <c:numFmt formatCode="General" sourceLinked="1"/>
        <c:majorTickMark val="none"/>
        <c:minorTickMark val="none"/>
        <c:tickLblPos val="low"/>
        <c:txPr>
          <a:bodyPr rot="0" vert="horz"/>
          <a:lstStyle/>
          <a:p>
            <a:pPr>
              <a:defRPr/>
            </a:pPr>
            <a:endParaRPr lang="en-US"/>
          </a:p>
        </c:txPr>
        <c:crossAx val="135341184"/>
        <c:crosses val="autoZero"/>
        <c:auto val="1"/>
        <c:lblAlgn val="ctr"/>
        <c:lblOffset val="100"/>
        <c:tickLblSkip val="1"/>
        <c:tickMarkSkip val="1"/>
        <c:noMultiLvlLbl val="0"/>
      </c:catAx>
      <c:valAx>
        <c:axId val="135341184"/>
        <c:scaling>
          <c:orientation val="minMax"/>
        </c:scaling>
        <c:delete val="0"/>
        <c:axPos val="l"/>
        <c:majorGridlines/>
        <c:numFmt formatCode="_(* #,##0_);_(* \(#,##0\);_(* &quot;-&quot;??_);_(@_)" sourceLinked="1"/>
        <c:majorTickMark val="out"/>
        <c:minorTickMark val="none"/>
        <c:tickLblPos val="nextTo"/>
        <c:crossAx val="14212300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TW!$E$3:$G$3</c:f>
              <c:numCache>
                <c:formatCode>General</c:formatCode>
                <c:ptCount val="3"/>
                <c:pt idx="0">
                  <c:v>2012</c:v>
                </c:pt>
                <c:pt idx="1">
                  <c:v>2013</c:v>
                </c:pt>
                <c:pt idx="2">
                  <c:v>2014</c:v>
                </c:pt>
              </c:numCache>
            </c:numRef>
          </c:cat>
          <c:val>
            <c:numRef>
              <c:f>TW!$E$7:$G$7</c:f>
              <c:numCache>
                <c:formatCode>_(* #,##0_);_(* \(#,##0\);_(* "-"??_);_(@_)</c:formatCode>
                <c:ptCount val="3"/>
                <c:pt idx="0">
                  <c:v>12823749</c:v>
                </c:pt>
                <c:pt idx="1">
                  <c:v>12808089</c:v>
                </c:pt>
                <c:pt idx="2">
                  <c:v>12681926</c:v>
                </c:pt>
              </c:numCache>
            </c:numRef>
          </c:val>
        </c:ser>
        <c:ser>
          <c:idx val="0"/>
          <c:order val="1"/>
          <c:tx>
            <c:v>Budget</c:v>
          </c:tx>
          <c:invertIfNegative val="0"/>
          <c:dLbls>
            <c:dLbl>
              <c:idx val="0"/>
              <c:layout>
                <c:manualLayout>
                  <c:x val="9.3741813451303398E-3"/>
                  <c:y val="-4.087527733066516E-3"/>
                </c:manualLayout>
              </c:layout>
              <c:dLblPos val="outEnd"/>
              <c:showLegendKey val="0"/>
              <c:showVal val="1"/>
              <c:showCatName val="0"/>
              <c:showSerName val="0"/>
              <c:showPercent val="0"/>
              <c:showBubbleSize val="0"/>
            </c:dLbl>
            <c:dLbl>
              <c:idx val="1"/>
              <c:layout>
                <c:manualLayout>
                  <c:x val="9.9956437920554267E-3"/>
                  <c:y val="8.551500123258074E-3"/>
                </c:manualLayout>
              </c:layout>
              <c:dLblPos val="outEnd"/>
              <c:showLegendKey val="0"/>
              <c:showVal val="1"/>
              <c:showCatName val="0"/>
              <c:showSerName val="0"/>
              <c:showPercent val="0"/>
              <c:showBubbleSize val="0"/>
            </c:dLbl>
            <c:dLbl>
              <c:idx val="2"/>
              <c:layout>
                <c:manualLayout>
                  <c:x val="1.3208938013225861E-2"/>
                  <c:y val="8.8861820449245464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TW!$E$3:$G$3</c:f>
              <c:numCache>
                <c:formatCode>General</c:formatCode>
                <c:ptCount val="3"/>
                <c:pt idx="0">
                  <c:v>2012</c:v>
                </c:pt>
                <c:pt idx="1">
                  <c:v>2013</c:v>
                </c:pt>
                <c:pt idx="2">
                  <c:v>2014</c:v>
                </c:pt>
              </c:numCache>
            </c:numRef>
          </c:cat>
          <c:val>
            <c:numRef>
              <c:f>TW!$E$6:$G$6</c:f>
              <c:numCache>
                <c:formatCode>_(* #,##0_);_(* \(#,##0\);_(* "-"??_);_(@_)</c:formatCode>
                <c:ptCount val="3"/>
                <c:pt idx="0">
                  <c:v>12409811</c:v>
                </c:pt>
                <c:pt idx="1">
                  <c:v>12289811</c:v>
                </c:pt>
                <c:pt idx="2">
                  <c:v>12387926</c:v>
                </c:pt>
              </c:numCache>
            </c:numRef>
          </c:val>
        </c:ser>
        <c:dLbls>
          <c:showLegendKey val="0"/>
          <c:showVal val="1"/>
          <c:showCatName val="0"/>
          <c:showSerName val="0"/>
          <c:showPercent val="0"/>
          <c:showBubbleSize val="0"/>
        </c:dLbls>
        <c:gapWidth val="150"/>
        <c:axId val="142125568"/>
        <c:axId val="135343488"/>
      </c:barChart>
      <c:catAx>
        <c:axId val="142125568"/>
        <c:scaling>
          <c:orientation val="minMax"/>
        </c:scaling>
        <c:delete val="0"/>
        <c:axPos val="b"/>
        <c:numFmt formatCode="General" sourceLinked="1"/>
        <c:majorTickMark val="none"/>
        <c:minorTickMark val="none"/>
        <c:tickLblPos val="nextTo"/>
        <c:txPr>
          <a:bodyPr rot="0" vert="horz"/>
          <a:lstStyle/>
          <a:p>
            <a:pPr>
              <a:defRPr/>
            </a:pPr>
            <a:endParaRPr lang="en-US"/>
          </a:p>
        </c:txPr>
        <c:crossAx val="135343488"/>
        <c:crosses val="autoZero"/>
        <c:auto val="1"/>
        <c:lblAlgn val="ctr"/>
        <c:lblOffset val="100"/>
        <c:tickLblSkip val="1"/>
        <c:tickMarkSkip val="1"/>
        <c:noMultiLvlLbl val="0"/>
      </c:catAx>
      <c:valAx>
        <c:axId val="135343488"/>
        <c:scaling>
          <c:orientation val="minMax"/>
        </c:scaling>
        <c:delete val="0"/>
        <c:axPos val="l"/>
        <c:numFmt formatCode="_(* #,##0_);_(* \(#,##0\);_(* &quot;-&quot;??_);_(@_)" sourceLinked="1"/>
        <c:majorTickMark val="none"/>
        <c:minorTickMark val="none"/>
        <c:tickLblPos val="none"/>
        <c:crossAx val="14212556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HT!$J$3</c:f>
              <c:strCache>
                <c:ptCount val="1"/>
                <c:pt idx="0">
                  <c:v>2012</c:v>
                </c:pt>
              </c:strCache>
            </c:strRef>
          </c:tx>
          <c:marker>
            <c:symbol val="square"/>
            <c:size val="5"/>
          </c:marker>
          <c:cat>
            <c:strLit>
              <c:ptCount val="4"/>
              <c:pt idx="0">
                <c:v>Q1</c:v>
              </c:pt>
              <c:pt idx="1">
                <c:v> Q2</c:v>
              </c:pt>
              <c:pt idx="2">
                <c:v> Q3</c:v>
              </c:pt>
              <c:pt idx="3">
                <c:v> Year-End</c:v>
              </c:pt>
            </c:strLit>
          </c:cat>
          <c:val>
            <c:numRef>
              <c:f>HT!$J$5:$J$8</c:f>
              <c:numCache>
                <c:formatCode>_(* #,##0_);_(* \(#,##0\);_(* "-"??_);_(@_)</c:formatCode>
                <c:ptCount val="4"/>
                <c:pt idx="1">
                  <c:v>-43000</c:v>
                </c:pt>
                <c:pt idx="2">
                  <c:v>-52000</c:v>
                </c:pt>
                <c:pt idx="3">
                  <c:v>-40174</c:v>
                </c:pt>
              </c:numCache>
            </c:numRef>
          </c:val>
          <c:smooth val="0"/>
        </c:ser>
        <c:ser>
          <c:idx val="0"/>
          <c:order val="1"/>
          <c:tx>
            <c:strRef>
              <c:f>HT!$K$3</c:f>
              <c:strCache>
                <c:ptCount val="1"/>
                <c:pt idx="0">
                  <c:v>2013</c:v>
                </c:pt>
              </c:strCache>
            </c:strRef>
          </c:tx>
          <c:cat>
            <c:strLit>
              <c:ptCount val="4"/>
              <c:pt idx="0">
                <c:v>Q1</c:v>
              </c:pt>
              <c:pt idx="1">
                <c:v> Q2</c:v>
              </c:pt>
              <c:pt idx="2">
                <c:v> Q3</c:v>
              </c:pt>
              <c:pt idx="3">
                <c:v> Year-End</c:v>
              </c:pt>
            </c:strLit>
          </c:cat>
          <c:val>
            <c:numRef>
              <c:f>HT!$K$5:$K$8</c:f>
              <c:numCache>
                <c:formatCode>_(* #,##0_);_(* \(#,##0\);_(* "-"??_);_(@_)</c:formatCode>
                <c:ptCount val="4"/>
                <c:pt idx="1">
                  <c:v>0</c:v>
                </c:pt>
                <c:pt idx="2">
                  <c:v>-6145</c:v>
                </c:pt>
                <c:pt idx="3">
                  <c:v>7062</c:v>
                </c:pt>
              </c:numCache>
            </c:numRef>
          </c:val>
          <c:smooth val="0"/>
        </c:ser>
        <c:ser>
          <c:idx val="1"/>
          <c:order val="2"/>
          <c:tx>
            <c:strRef>
              <c:f>HT!$L$3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HT!$L$5:$L$8</c:f>
              <c:numCache>
                <c:formatCode>_(* #,##0_);_(* \(#,##0\);_(* "-"??_);_(@_)</c:formatCode>
                <c:ptCount val="4"/>
                <c:pt idx="0">
                  <c:v>0</c:v>
                </c:pt>
                <c:pt idx="1">
                  <c:v>-2000</c:v>
                </c:pt>
                <c:pt idx="2">
                  <c:v>0</c:v>
                </c:pt>
              </c:numCache>
            </c:numRef>
          </c:val>
          <c:smooth val="0"/>
        </c:ser>
        <c:dLbls>
          <c:showLegendKey val="0"/>
          <c:showVal val="0"/>
          <c:showCatName val="0"/>
          <c:showSerName val="0"/>
          <c:showPercent val="0"/>
          <c:showBubbleSize val="0"/>
        </c:dLbls>
        <c:marker val="1"/>
        <c:smooth val="0"/>
        <c:axId val="142123520"/>
        <c:axId val="135346368"/>
      </c:lineChart>
      <c:catAx>
        <c:axId val="142123520"/>
        <c:scaling>
          <c:orientation val="minMax"/>
        </c:scaling>
        <c:delete val="0"/>
        <c:axPos val="b"/>
        <c:numFmt formatCode="General" sourceLinked="1"/>
        <c:majorTickMark val="none"/>
        <c:minorTickMark val="none"/>
        <c:tickLblPos val="low"/>
        <c:txPr>
          <a:bodyPr rot="0" vert="horz"/>
          <a:lstStyle/>
          <a:p>
            <a:pPr>
              <a:defRPr/>
            </a:pPr>
            <a:endParaRPr lang="en-US"/>
          </a:p>
        </c:txPr>
        <c:crossAx val="135346368"/>
        <c:crosses val="autoZero"/>
        <c:auto val="1"/>
        <c:lblAlgn val="ctr"/>
        <c:lblOffset val="100"/>
        <c:tickLblSkip val="1"/>
        <c:tickMarkSkip val="1"/>
        <c:noMultiLvlLbl val="0"/>
      </c:catAx>
      <c:valAx>
        <c:axId val="135346368"/>
        <c:scaling>
          <c:orientation val="minMax"/>
        </c:scaling>
        <c:delete val="0"/>
        <c:axPos val="l"/>
        <c:majorGridlines/>
        <c:numFmt formatCode="_(* #,##0_);_(* \(#,##0\);_(* &quot;-&quot;??_);_(@_)" sourceLinked="1"/>
        <c:majorTickMark val="out"/>
        <c:minorTickMark val="none"/>
        <c:tickLblPos val="nextTo"/>
        <c:crossAx val="14212352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layout/>
      <c:overlay val="0"/>
    </c:title>
    <c:autoTitleDeleted val="0"/>
    <c:plotArea>
      <c:layout/>
      <c:lineChart>
        <c:grouping val="standard"/>
        <c:varyColors val="0"/>
        <c:ser>
          <c:idx val="2"/>
          <c:order val="0"/>
          <c:tx>
            <c:strRef>
              <c:f>CAO!$J$3</c:f>
              <c:strCache>
                <c:ptCount val="1"/>
                <c:pt idx="0">
                  <c:v>2012</c:v>
                </c:pt>
              </c:strCache>
            </c:strRef>
          </c:tx>
          <c:marker>
            <c:symbol val="square"/>
            <c:size val="5"/>
          </c:marker>
          <c:cat>
            <c:strLit>
              <c:ptCount val="4"/>
              <c:pt idx="0">
                <c:v>Q1</c:v>
              </c:pt>
              <c:pt idx="1">
                <c:v> Q2</c:v>
              </c:pt>
              <c:pt idx="2">
                <c:v> Q3</c:v>
              </c:pt>
              <c:pt idx="3">
                <c:v> Year-End</c:v>
              </c:pt>
            </c:strLit>
          </c:cat>
          <c:val>
            <c:numRef>
              <c:f>CAO!$J$5:$J$8</c:f>
              <c:numCache>
                <c:formatCode>_(* #,##0_);_(* \(#,##0\);_(* "-"??_);_(@_)</c:formatCode>
                <c:ptCount val="4"/>
                <c:pt idx="1">
                  <c:v>113000</c:v>
                </c:pt>
                <c:pt idx="2">
                  <c:v>139000</c:v>
                </c:pt>
                <c:pt idx="3">
                  <c:v>222610</c:v>
                </c:pt>
              </c:numCache>
            </c:numRef>
          </c:val>
          <c:smooth val="0"/>
        </c:ser>
        <c:ser>
          <c:idx val="0"/>
          <c:order val="1"/>
          <c:tx>
            <c:strRef>
              <c:f>CAO!$K$3</c:f>
              <c:strCache>
                <c:ptCount val="1"/>
                <c:pt idx="0">
                  <c:v>2013</c:v>
                </c:pt>
              </c:strCache>
            </c:strRef>
          </c:tx>
          <c:cat>
            <c:strLit>
              <c:ptCount val="4"/>
              <c:pt idx="0">
                <c:v>Q1</c:v>
              </c:pt>
              <c:pt idx="1">
                <c:v> Q2</c:v>
              </c:pt>
              <c:pt idx="2">
                <c:v> Q3</c:v>
              </c:pt>
              <c:pt idx="3">
                <c:v> Year-End</c:v>
              </c:pt>
            </c:strLit>
          </c:cat>
          <c:val>
            <c:numRef>
              <c:f>CAO!$K$5:$K$8</c:f>
              <c:numCache>
                <c:formatCode>_(* #,##0_);_(* \(#,##0\);_(* "-"??_);_(@_)</c:formatCode>
                <c:ptCount val="4"/>
                <c:pt idx="1">
                  <c:v>0</c:v>
                </c:pt>
                <c:pt idx="2">
                  <c:v>0</c:v>
                </c:pt>
                <c:pt idx="3">
                  <c:v>246883</c:v>
                </c:pt>
              </c:numCache>
            </c:numRef>
          </c:val>
          <c:smooth val="0"/>
        </c:ser>
        <c:ser>
          <c:idx val="1"/>
          <c:order val="2"/>
          <c:tx>
            <c:strRef>
              <c:f>CAO!$L$3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CAO!$L$5:$L$8</c:f>
              <c:numCache>
                <c:formatCode>_(* #,##0_);_(* \(#,##0\);_(* "-"??_);_(@_)</c:formatCode>
                <c:ptCount val="4"/>
                <c:pt idx="0">
                  <c:v>0</c:v>
                </c:pt>
                <c:pt idx="1">
                  <c:v>0</c:v>
                </c:pt>
                <c:pt idx="2">
                  <c:v>113000</c:v>
                </c:pt>
              </c:numCache>
            </c:numRef>
          </c:val>
          <c:smooth val="0"/>
        </c:ser>
        <c:dLbls>
          <c:showLegendKey val="0"/>
          <c:showVal val="0"/>
          <c:showCatName val="0"/>
          <c:showSerName val="0"/>
          <c:showPercent val="0"/>
          <c:showBubbleSize val="0"/>
        </c:dLbls>
        <c:marker val="1"/>
        <c:smooth val="0"/>
        <c:axId val="98159104"/>
        <c:axId val="98879168"/>
      </c:lineChart>
      <c:catAx>
        <c:axId val="98159104"/>
        <c:scaling>
          <c:orientation val="minMax"/>
        </c:scaling>
        <c:delete val="0"/>
        <c:axPos val="b"/>
        <c:numFmt formatCode="General" sourceLinked="1"/>
        <c:majorTickMark val="none"/>
        <c:minorTickMark val="none"/>
        <c:tickLblPos val="low"/>
        <c:txPr>
          <a:bodyPr rot="0" vert="horz"/>
          <a:lstStyle/>
          <a:p>
            <a:pPr>
              <a:defRPr/>
            </a:pPr>
            <a:endParaRPr lang="en-US"/>
          </a:p>
        </c:txPr>
        <c:crossAx val="98879168"/>
        <c:crosses val="autoZero"/>
        <c:auto val="1"/>
        <c:lblAlgn val="ctr"/>
        <c:lblOffset val="100"/>
        <c:tickLblSkip val="1"/>
        <c:tickMarkSkip val="1"/>
        <c:noMultiLvlLbl val="0"/>
      </c:catAx>
      <c:valAx>
        <c:axId val="98879168"/>
        <c:scaling>
          <c:orientation val="minMax"/>
        </c:scaling>
        <c:delete val="0"/>
        <c:axPos val="l"/>
        <c:majorGridlines/>
        <c:numFmt formatCode="_(* #,##0_);_(* \(#,##0\);_(* &quot;-&quot;??_);_(@_)" sourceLinked="1"/>
        <c:majorTickMark val="out"/>
        <c:minorTickMark val="none"/>
        <c:tickLblPos val="nextTo"/>
        <c:crossAx val="98159104"/>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HT!$E$3:$G$3</c:f>
              <c:numCache>
                <c:formatCode>General</c:formatCode>
                <c:ptCount val="3"/>
                <c:pt idx="0">
                  <c:v>2012</c:v>
                </c:pt>
                <c:pt idx="1">
                  <c:v>2013</c:v>
                </c:pt>
                <c:pt idx="2">
                  <c:v>2014</c:v>
                </c:pt>
              </c:numCache>
            </c:numRef>
          </c:cat>
          <c:val>
            <c:numRef>
              <c:f>HT!$E$7:$G$7</c:f>
              <c:numCache>
                <c:formatCode>_(* #,##0_);_(* \(#,##0\);_(* "-"??_);_(@_)</c:formatCode>
                <c:ptCount val="3"/>
                <c:pt idx="0">
                  <c:v>1276431</c:v>
                </c:pt>
                <c:pt idx="1">
                  <c:v>1330038</c:v>
                </c:pt>
                <c:pt idx="2">
                  <c:v>968502</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HT!$E$3:$G$3</c:f>
              <c:numCache>
                <c:formatCode>General</c:formatCode>
                <c:ptCount val="3"/>
                <c:pt idx="0">
                  <c:v>2012</c:v>
                </c:pt>
                <c:pt idx="1">
                  <c:v>2013</c:v>
                </c:pt>
                <c:pt idx="2">
                  <c:v>2014</c:v>
                </c:pt>
              </c:numCache>
            </c:numRef>
          </c:cat>
          <c:val>
            <c:numRef>
              <c:f>HT!$E$6:$G$6</c:f>
              <c:numCache>
                <c:formatCode>_(* #,##0_);_(* \(#,##0\);_(* "-"??_);_(@_)</c:formatCode>
                <c:ptCount val="3"/>
                <c:pt idx="0">
                  <c:v>1236257</c:v>
                </c:pt>
                <c:pt idx="1">
                  <c:v>1337100</c:v>
                </c:pt>
                <c:pt idx="2">
                  <c:v>966502</c:v>
                </c:pt>
              </c:numCache>
            </c:numRef>
          </c:val>
        </c:ser>
        <c:dLbls>
          <c:showLegendKey val="0"/>
          <c:showVal val="1"/>
          <c:showCatName val="0"/>
          <c:showSerName val="0"/>
          <c:showPercent val="0"/>
          <c:showBubbleSize val="0"/>
        </c:dLbls>
        <c:gapWidth val="150"/>
        <c:axId val="143971840"/>
        <c:axId val="134505024"/>
      </c:barChart>
      <c:catAx>
        <c:axId val="143971840"/>
        <c:scaling>
          <c:orientation val="minMax"/>
        </c:scaling>
        <c:delete val="0"/>
        <c:axPos val="b"/>
        <c:numFmt formatCode="General" sourceLinked="1"/>
        <c:majorTickMark val="none"/>
        <c:minorTickMark val="none"/>
        <c:tickLblPos val="nextTo"/>
        <c:txPr>
          <a:bodyPr rot="0" vert="horz"/>
          <a:lstStyle/>
          <a:p>
            <a:pPr>
              <a:defRPr/>
            </a:pPr>
            <a:endParaRPr lang="en-US"/>
          </a:p>
        </c:txPr>
        <c:crossAx val="134505024"/>
        <c:crosses val="autoZero"/>
        <c:auto val="1"/>
        <c:lblAlgn val="ctr"/>
        <c:lblOffset val="100"/>
        <c:tickLblSkip val="1"/>
        <c:tickMarkSkip val="1"/>
        <c:noMultiLvlLbl val="0"/>
      </c:catAx>
      <c:valAx>
        <c:axId val="134505024"/>
        <c:scaling>
          <c:orientation val="minMax"/>
        </c:scaling>
        <c:delete val="0"/>
        <c:axPos val="l"/>
        <c:numFmt formatCode="_(* #,##0_);_(* \(#,##0\);_(* &quot;-&quot;??_);_(@_)" sourceLinked="1"/>
        <c:majorTickMark val="none"/>
        <c:minorTickMark val="none"/>
        <c:tickLblPos val="none"/>
        <c:crossAx val="14397184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WPL!$J$3</c:f>
              <c:strCache>
                <c:ptCount val="1"/>
                <c:pt idx="0">
                  <c:v>2012</c:v>
                </c:pt>
              </c:strCache>
            </c:strRef>
          </c:tx>
          <c:marker>
            <c:symbol val="square"/>
            <c:size val="5"/>
          </c:marker>
          <c:cat>
            <c:strLit>
              <c:ptCount val="4"/>
              <c:pt idx="0">
                <c:v>Q1</c:v>
              </c:pt>
              <c:pt idx="1">
                <c:v> Q2</c:v>
              </c:pt>
              <c:pt idx="2">
                <c:v> Q3</c:v>
              </c:pt>
              <c:pt idx="3">
                <c:v> Year-End</c:v>
              </c:pt>
            </c:strLit>
          </c:cat>
          <c:val>
            <c:numRef>
              <c:f>WPL!$J$5:$J$8</c:f>
              <c:numCache>
                <c:formatCode>_(* #,##0_);_(* \(#,##0\);_(* "-"??_);_(@_)</c:formatCode>
                <c:ptCount val="4"/>
                <c:pt idx="1">
                  <c:v>0</c:v>
                </c:pt>
                <c:pt idx="2">
                  <c:v>0</c:v>
                </c:pt>
                <c:pt idx="3">
                  <c:v>0</c:v>
                </c:pt>
              </c:numCache>
            </c:numRef>
          </c:val>
          <c:smooth val="0"/>
        </c:ser>
        <c:ser>
          <c:idx val="0"/>
          <c:order val="1"/>
          <c:tx>
            <c:strRef>
              <c:f>WPL!$K$3</c:f>
              <c:strCache>
                <c:ptCount val="1"/>
                <c:pt idx="0">
                  <c:v>2013</c:v>
                </c:pt>
              </c:strCache>
            </c:strRef>
          </c:tx>
          <c:cat>
            <c:strLit>
              <c:ptCount val="4"/>
              <c:pt idx="0">
                <c:v>Q1</c:v>
              </c:pt>
              <c:pt idx="1">
                <c:v> Q2</c:v>
              </c:pt>
              <c:pt idx="2">
                <c:v> Q3</c:v>
              </c:pt>
              <c:pt idx="3">
                <c:v> Year-End</c:v>
              </c:pt>
            </c:strLit>
          </c:cat>
          <c:val>
            <c:numRef>
              <c:f>WPL!$K$5:$K$8</c:f>
              <c:numCache>
                <c:formatCode>_(* #,##0_);_(* \(#,##0\);_(* "-"??_);_(@_)</c:formatCode>
                <c:ptCount val="4"/>
                <c:pt idx="1">
                  <c:v>0</c:v>
                </c:pt>
                <c:pt idx="2">
                  <c:v>0</c:v>
                </c:pt>
                <c:pt idx="3">
                  <c:v>0</c:v>
                </c:pt>
              </c:numCache>
            </c:numRef>
          </c:val>
          <c:smooth val="0"/>
        </c:ser>
        <c:ser>
          <c:idx val="1"/>
          <c:order val="2"/>
          <c:tx>
            <c:strRef>
              <c:f>WPL!$L$3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WPL!$L$5:$L$8</c:f>
              <c:numCache>
                <c:formatCode>_(* #,##0_);_(* \(#,##0\);_(* "-"??_);_(@_)</c:formatCode>
                <c:ptCount val="4"/>
                <c:pt idx="0">
                  <c:v>0</c:v>
                </c:pt>
                <c:pt idx="1">
                  <c:v>0</c:v>
                </c:pt>
                <c:pt idx="2">
                  <c:v>0</c:v>
                </c:pt>
              </c:numCache>
            </c:numRef>
          </c:val>
          <c:smooth val="0"/>
        </c:ser>
        <c:dLbls>
          <c:showLegendKey val="0"/>
          <c:showVal val="0"/>
          <c:showCatName val="0"/>
          <c:showSerName val="0"/>
          <c:showPercent val="0"/>
          <c:showBubbleSize val="0"/>
        </c:dLbls>
        <c:marker val="1"/>
        <c:smooth val="0"/>
        <c:axId val="143972864"/>
        <c:axId val="134507904"/>
      </c:lineChart>
      <c:catAx>
        <c:axId val="143972864"/>
        <c:scaling>
          <c:orientation val="minMax"/>
        </c:scaling>
        <c:delete val="0"/>
        <c:axPos val="b"/>
        <c:numFmt formatCode="General" sourceLinked="1"/>
        <c:majorTickMark val="none"/>
        <c:minorTickMark val="none"/>
        <c:tickLblPos val="low"/>
        <c:txPr>
          <a:bodyPr rot="0" vert="horz"/>
          <a:lstStyle/>
          <a:p>
            <a:pPr>
              <a:defRPr/>
            </a:pPr>
            <a:endParaRPr lang="en-US"/>
          </a:p>
        </c:txPr>
        <c:crossAx val="134507904"/>
        <c:crosses val="autoZero"/>
        <c:auto val="1"/>
        <c:lblAlgn val="ctr"/>
        <c:lblOffset val="100"/>
        <c:tickLblSkip val="1"/>
        <c:tickMarkSkip val="1"/>
        <c:noMultiLvlLbl val="0"/>
      </c:catAx>
      <c:valAx>
        <c:axId val="134507904"/>
        <c:scaling>
          <c:orientation val="minMax"/>
          <c:max val="15000"/>
        </c:scaling>
        <c:delete val="0"/>
        <c:axPos val="l"/>
        <c:majorGridlines/>
        <c:numFmt formatCode="_(* #,##0_);_(* \(#,##0\);_(* &quot;-&quot;??_);_(@_)" sourceLinked="1"/>
        <c:majorTickMark val="out"/>
        <c:minorTickMark val="none"/>
        <c:tickLblPos val="nextTo"/>
        <c:crossAx val="143972864"/>
        <c:crosses val="autoZero"/>
        <c:crossBetween val="between"/>
        <c:majorUnit val="5000"/>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WPL!$E$3:$G$3</c:f>
              <c:numCache>
                <c:formatCode>General</c:formatCode>
                <c:ptCount val="3"/>
                <c:pt idx="0">
                  <c:v>2012</c:v>
                </c:pt>
                <c:pt idx="1">
                  <c:v>2013</c:v>
                </c:pt>
                <c:pt idx="2">
                  <c:v>2014</c:v>
                </c:pt>
              </c:numCache>
            </c:numRef>
          </c:cat>
          <c:val>
            <c:numRef>
              <c:f>WPL!$E$7:$G$7</c:f>
              <c:numCache>
                <c:formatCode>_(* #,##0_);_(* \(#,##0\);_(* "-"??_);_(@_)</c:formatCode>
                <c:ptCount val="3"/>
                <c:pt idx="0">
                  <c:v>7939359</c:v>
                </c:pt>
                <c:pt idx="1">
                  <c:v>7939359</c:v>
                </c:pt>
                <c:pt idx="2">
                  <c:v>7293932</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WPL!$E$3:$G$3</c:f>
              <c:numCache>
                <c:formatCode>General</c:formatCode>
                <c:ptCount val="3"/>
                <c:pt idx="0">
                  <c:v>2012</c:v>
                </c:pt>
                <c:pt idx="1">
                  <c:v>2013</c:v>
                </c:pt>
                <c:pt idx="2">
                  <c:v>2014</c:v>
                </c:pt>
              </c:numCache>
            </c:numRef>
          </c:cat>
          <c:val>
            <c:numRef>
              <c:f>WPL!$E$6:$G$6</c:f>
              <c:numCache>
                <c:formatCode>_(* #,##0_);_(* \(#,##0\);_(* "-"??_);_(@_)</c:formatCode>
                <c:ptCount val="3"/>
                <c:pt idx="0">
                  <c:v>7939359</c:v>
                </c:pt>
                <c:pt idx="1">
                  <c:v>7939359</c:v>
                </c:pt>
                <c:pt idx="2">
                  <c:v>7293932</c:v>
                </c:pt>
              </c:numCache>
            </c:numRef>
          </c:val>
        </c:ser>
        <c:dLbls>
          <c:showLegendKey val="0"/>
          <c:showVal val="1"/>
          <c:showCatName val="0"/>
          <c:showSerName val="0"/>
          <c:showPercent val="0"/>
          <c:showBubbleSize val="0"/>
        </c:dLbls>
        <c:gapWidth val="150"/>
        <c:axId val="144396288"/>
        <c:axId val="134510208"/>
      </c:barChart>
      <c:catAx>
        <c:axId val="144396288"/>
        <c:scaling>
          <c:orientation val="minMax"/>
        </c:scaling>
        <c:delete val="0"/>
        <c:axPos val="b"/>
        <c:numFmt formatCode="General" sourceLinked="1"/>
        <c:majorTickMark val="none"/>
        <c:minorTickMark val="none"/>
        <c:tickLblPos val="nextTo"/>
        <c:txPr>
          <a:bodyPr rot="0" vert="horz"/>
          <a:lstStyle/>
          <a:p>
            <a:pPr>
              <a:defRPr/>
            </a:pPr>
            <a:endParaRPr lang="en-US"/>
          </a:p>
        </c:txPr>
        <c:crossAx val="134510208"/>
        <c:crosses val="autoZero"/>
        <c:auto val="1"/>
        <c:lblAlgn val="ctr"/>
        <c:lblOffset val="100"/>
        <c:tickLblSkip val="1"/>
        <c:tickMarkSkip val="1"/>
        <c:noMultiLvlLbl val="0"/>
      </c:catAx>
      <c:valAx>
        <c:axId val="134510208"/>
        <c:scaling>
          <c:orientation val="minMax"/>
        </c:scaling>
        <c:delete val="0"/>
        <c:axPos val="l"/>
        <c:numFmt formatCode="_(* #,##0_);_(* \(#,##0\);_(* &quot;-&quot;??_);_(@_)" sourceLinked="1"/>
        <c:majorTickMark val="none"/>
        <c:minorTickMark val="none"/>
        <c:tickLblPos val="none"/>
        <c:crossAx val="144396288"/>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AG!$J$3</c:f>
              <c:strCache>
                <c:ptCount val="1"/>
                <c:pt idx="0">
                  <c:v>2012</c:v>
                </c:pt>
              </c:strCache>
            </c:strRef>
          </c:tx>
          <c:marker>
            <c:symbol val="square"/>
            <c:size val="5"/>
          </c:marker>
          <c:cat>
            <c:strLit>
              <c:ptCount val="4"/>
              <c:pt idx="0">
                <c:v>Q1</c:v>
              </c:pt>
              <c:pt idx="1">
                <c:v> Q2</c:v>
              </c:pt>
              <c:pt idx="2">
                <c:v> Q3</c:v>
              </c:pt>
              <c:pt idx="3">
                <c:v> Year-End</c:v>
              </c:pt>
            </c:strLit>
          </c:cat>
          <c:val>
            <c:numRef>
              <c:f>AG!$J$5:$J$8</c:f>
              <c:numCache>
                <c:formatCode>_(* #,##0_);_(* \(#,##0\);_(* "-"??_);_(@_)</c:formatCode>
                <c:ptCount val="4"/>
                <c:pt idx="1">
                  <c:v>50000</c:v>
                </c:pt>
                <c:pt idx="2">
                  <c:v>-34000</c:v>
                </c:pt>
                <c:pt idx="3">
                  <c:v>-133209</c:v>
                </c:pt>
              </c:numCache>
            </c:numRef>
          </c:val>
          <c:smooth val="0"/>
        </c:ser>
        <c:ser>
          <c:idx val="0"/>
          <c:order val="1"/>
          <c:tx>
            <c:strRef>
              <c:f>AG!$K$3</c:f>
              <c:strCache>
                <c:ptCount val="1"/>
                <c:pt idx="0">
                  <c:v>2013</c:v>
                </c:pt>
              </c:strCache>
            </c:strRef>
          </c:tx>
          <c:cat>
            <c:strLit>
              <c:ptCount val="4"/>
              <c:pt idx="0">
                <c:v>Q1</c:v>
              </c:pt>
              <c:pt idx="1">
                <c:v> Q2</c:v>
              </c:pt>
              <c:pt idx="2">
                <c:v> Q3</c:v>
              </c:pt>
              <c:pt idx="3">
                <c:v> Year-End</c:v>
              </c:pt>
            </c:strLit>
          </c:cat>
          <c:val>
            <c:numRef>
              <c:f>AG!$K$5:$K$8</c:f>
              <c:numCache>
                <c:formatCode>_(* #,##0_);_(* \(#,##0\);_(* "-"??_);_(@_)</c:formatCode>
                <c:ptCount val="4"/>
                <c:pt idx="1">
                  <c:v>0</c:v>
                </c:pt>
                <c:pt idx="2">
                  <c:v>0</c:v>
                </c:pt>
                <c:pt idx="3">
                  <c:v>-146520</c:v>
                </c:pt>
              </c:numCache>
            </c:numRef>
          </c:val>
          <c:smooth val="0"/>
        </c:ser>
        <c:ser>
          <c:idx val="1"/>
          <c:order val="2"/>
          <c:tx>
            <c:strRef>
              <c:f>AG!$L$3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AG!$L$5:$L$8</c:f>
              <c:numCache>
                <c:formatCode>_(* #,##0_);_(* \(#,##0\);_(* "-"??_);_(@_)</c:formatCode>
                <c:ptCount val="4"/>
                <c:pt idx="0">
                  <c:v>-501720</c:v>
                </c:pt>
                <c:pt idx="1">
                  <c:v>-501720</c:v>
                </c:pt>
                <c:pt idx="2">
                  <c:v>-598120</c:v>
                </c:pt>
              </c:numCache>
            </c:numRef>
          </c:val>
          <c:smooth val="0"/>
        </c:ser>
        <c:dLbls>
          <c:showLegendKey val="0"/>
          <c:showVal val="0"/>
          <c:showCatName val="0"/>
          <c:showSerName val="0"/>
          <c:showPercent val="0"/>
          <c:showBubbleSize val="0"/>
        </c:dLbls>
        <c:marker val="1"/>
        <c:smooth val="0"/>
        <c:axId val="144398336"/>
        <c:axId val="144491072"/>
      </c:lineChart>
      <c:catAx>
        <c:axId val="144398336"/>
        <c:scaling>
          <c:orientation val="minMax"/>
        </c:scaling>
        <c:delete val="0"/>
        <c:axPos val="b"/>
        <c:numFmt formatCode="General" sourceLinked="1"/>
        <c:majorTickMark val="none"/>
        <c:minorTickMark val="none"/>
        <c:tickLblPos val="low"/>
        <c:txPr>
          <a:bodyPr rot="0" vert="horz"/>
          <a:lstStyle/>
          <a:p>
            <a:pPr>
              <a:defRPr/>
            </a:pPr>
            <a:endParaRPr lang="en-US"/>
          </a:p>
        </c:txPr>
        <c:crossAx val="144491072"/>
        <c:crosses val="autoZero"/>
        <c:auto val="1"/>
        <c:lblAlgn val="ctr"/>
        <c:lblOffset val="100"/>
        <c:tickLblSkip val="1"/>
        <c:tickMarkSkip val="1"/>
        <c:noMultiLvlLbl val="0"/>
      </c:catAx>
      <c:valAx>
        <c:axId val="144491072"/>
        <c:scaling>
          <c:orientation val="minMax"/>
        </c:scaling>
        <c:delete val="0"/>
        <c:axPos val="l"/>
        <c:majorGridlines/>
        <c:numFmt formatCode="_(* #,##0_);_(* \(#,##0\);_(* &quot;-&quot;??_);_(@_)" sourceLinked="1"/>
        <c:majorTickMark val="out"/>
        <c:minorTickMark val="none"/>
        <c:tickLblPos val="nextTo"/>
        <c:crossAx val="144398336"/>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AG!$E$3:$G$3</c:f>
              <c:numCache>
                <c:formatCode>General</c:formatCode>
                <c:ptCount val="3"/>
                <c:pt idx="0">
                  <c:v>2012</c:v>
                </c:pt>
                <c:pt idx="1">
                  <c:v>2013</c:v>
                </c:pt>
                <c:pt idx="2">
                  <c:v>2014</c:v>
                </c:pt>
              </c:numCache>
            </c:numRef>
          </c:cat>
          <c:val>
            <c:numRef>
              <c:f>AG!$E$7:$G$7</c:f>
              <c:numCache>
                <c:formatCode>_(* #,##0_);_(* \(#,##0\);_(* "-"??_);_(@_)</c:formatCode>
                <c:ptCount val="3"/>
                <c:pt idx="0">
                  <c:v>16186600</c:v>
                </c:pt>
                <c:pt idx="1">
                  <c:v>16296974</c:v>
                </c:pt>
                <c:pt idx="2">
                  <c:v>16688175</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AG!$E$3:$G$3</c:f>
              <c:numCache>
                <c:formatCode>General</c:formatCode>
                <c:ptCount val="3"/>
                <c:pt idx="0">
                  <c:v>2012</c:v>
                </c:pt>
                <c:pt idx="1">
                  <c:v>2013</c:v>
                </c:pt>
                <c:pt idx="2">
                  <c:v>2014</c:v>
                </c:pt>
              </c:numCache>
            </c:numRef>
          </c:cat>
          <c:val>
            <c:numRef>
              <c:f>AG!$E$6:$G$6</c:f>
              <c:numCache>
                <c:formatCode>_(* #,##0_);_(* \(#,##0\);_(* "-"??_);_(@_)</c:formatCode>
                <c:ptCount val="3"/>
                <c:pt idx="0">
                  <c:v>16053391</c:v>
                </c:pt>
                <c:pt idx="1">
                  <c:v>16150454</c:v>
                </c:pt>
                <c:pt idx="2">
                  <c:v>16186455</c:v>
                </c:pt>
              </c:numCache>
            </c:numRef>
          </c:val>
        </c:ser>
        <c:dLbls>
          <c:showLegendKey val="0"/>
          <c:showVal val="1"/>
          <c:showCatName val="0"/>
          <c:showSerName val="0"/>
          <c:showPercent val="0"/>
          <c:showBubbleSize val="0"/>
        </c:dLbls>
        <c:gapWidth val="150"/>
        <c:axId val="144397312"/>
        <c:axId val="144493376"/>
      </c:barChart>
      <c:catAx>
        <c:axId val="144397312"/>
        <c:scaling>
          <c:orientation val="minMax"/>
        </c:scaling>
        <c:delete val="0"/>
        <c:axPos val="b"/>
        <c:numFmt formatCode="General" sourceLinked="1"/>
        <c:majorTickMark val="none"/>
        <c:minorTickMark val="none"/>
        <c:tickLblPos val="nextTo"/>
        <c:txPr>
          <a:bodyPr rot="0" vert="horz"/>
          <a:lstStyle/>
          <a:p>
            <a:pPr>
              <a:defRPr/>
            </a:pPr>
            <a:endParaRPr lang="en-US"/>
          </a:p>
        </c:txPr>
        <c:crossAx val="144493376"/>
        <c:crosses val="autoZero"/>
        <c:auto val="1"/>
        <c:lblAlgn val="ctr"/>
        <c:lblOffset val="100"/>
        <c:tickLblSkip val="1"/>
        <c:tickMarkSkip val="1"/>
        <c:noMultiLvlLbl val="0"/>
      </c:catAx>
      <c:valAx>
        <c:axId val="144493376"/>
        <c:scaling>
          <c:orientation val="minMax"/>
        </c:scaling>
        <c:delete val="0"/>
        <c:axPos val="l"/>
        <c:numFmt formatCode="_(* #,##0_);_(* \(#,##0\);_(* &quot;-&quot;??_);_(@_)" sourceLinked="1"/>
        <c:majorTickMark val="none"/>
        <c:minorTickMark val="none"/>
        <c:tickLblPos val="none"/>
        <c:crossAx val="144397312"/>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CC!$J$3</c:f>
              <c:strCache>
                <c:ptCount val="1"/>
                <c:pt idx="0">
                  <c:v>2012</c:v>
                </c:pt>
              </c:strCache>
            </c:strRef>
          </c:tx>
          <c:marker>
            <c:symbol val="square"/>
            <c:size val="5"/>
          </c:marker>
          <c:cat>
            <c:strLit>
              <c:ptCount val="4"/>
              <c:pt idx="0">
                <c:v>Q1</c:v>
              </c:pt>
              <c:pt idx="1">
                <c:v> Q2</c:v>
              </c:pt>
              <c:pt idx="2">
                <c:v> Q3</c:v>
              </c:pt>
              <c:pt idx="3">
                <c:v> Year-End</c:v>
              </c:pt>
            </c:strLit>
          </c:cat>
          <c:val>
            <c:numRef>
              <c:f>CC!$J$5:$J$8</c:f>
              <c:numCache>
                <c:formatCode>_(* #,##0_);_(* \(#,##0\);_(* "-"??_);_(@_)</c:formatCode>
                <c:ptCount val="4"/>
                <c:pt idx="1">
                  <c:v>0</c:v>
                </c:pt>
                <c:pt idx="2">
                  <c:v>27000</c:v>
                </c:pt>
                <c:pt idx="3">
                  <c:v>30776</c:v>
                </c:pt>
              </c:numCache>
            </c:numRef>
          </c:val>
          <c:smooth val="0"/>
        </c:ser>
        <c:ser>
          <c:idx val="0"/>
          <c:order val="1"/>
          <c:tx>
            <c:strRef>
              <c:f>CC!$K$3</c:f>
              <c:strCache>
                <c:ptCount val="1"/>
                <c:pt idx="0">
                  <c:v>2013</c:v>
                </c:pt>
              </c:strCache>
            </c:strRef>
          </c:tx>
          <c:cat>
            <c:strLit>
              <c:ptCount val="4"/>
              <c:pt idx="0">
                <c:v>Q1</c:v>
              </c:pt>
              <c:pt idx="1">
                <c:v> Q2</c:v>
              </c:pt>
              <c:pt idx="2">
                <c:v> Q3</c:v>
              </c:pt>
              <c:pt idx="3">
                <c:v> Year-End</c:v>
              </c:pt>
            </c:strLit>
          </c:cat>
          <c:val>
            <c:numRef>
              <c:f>CC!$K$5:$K$8</c:f>
              <c:numCache>
                <c:formatCode>_(* #,##0_);_(* \(#,##0\);_(* "-"??_);_(@_)</c:formatCode>
                <c:ptCount val="4"/>
                <c:pt idx="1">
                  <c:v>0</c:v>
                </c:pt>
                <c:pt idx="2">
                  <c:v>9900</c:v>
                </c:pt>
                <c:pt idx="3">
                  <c:v>13572</c:v>
                </c:pt>
              </c:numCache>
            </c:numRef>
          </c:val>
          <c:smooth val="0"/>
        </c:ser>
        <c:ser>
          <c:idx val="1"/>
          <c:order val="2"/>
          <c:tx>
            <c:strRef>
              <c:f>CC!$L$3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CC!$L$5:$L$8</c:f>
              <c:numCache>
                <c:formatCode>_(* #,##0_);_(* \(#,##0\);_(* "-"??_);_(@_)</c:formatCode>
                <c:ptCount val="4"/>
                <c:pt idx="0">
                  <c:v>0</c:v>
                </c:pt>
                <c:pt idx="1">
                  <c:v>20000</c:v>
                </c:pt>
                <c:pt idx="2">
                  <c:v>23700</c:v>
                </c:pt>
              </c:numCache>
            </c:numRef>
          </c:val>
          <c:smooth val="0"/>
        </c:ser>
        <c:dLbls>
          <c:showLegendKey val="0"/>
          <c:showVal val="0"/>
          <c:showCatName val="0"/>
          <c:showSerName val="0"/>
          <c:showPercent val="0"/>
          <c:showBubbleSize val="0"/>
        </c:dLbls>
        <c:marker val="1"/>
        <c:smooth val="0"/>
        <c:axId val="134750720"/>
        <c:axId val="144496256"/>
      </c:lineChart>
      <c:catAx>
        <c:axId val="134750720"/>
        <c:scaling>
          <c:orientation val="minMax"/>
        </c:scaling>
        <c:delete val="0"/>
        <c:axPos val="b"/>
        <c:numFmt formatCode="General" sourceLinked="1"/>
        <c:majorTickMark val="none"/>
        <c:minorTickMark val="none"/>
        <c:tickLblPos val="low"/>
        <c:txPr>
          <a:bodyPr rot="0" vert="horz"/>
          <a:lstStyle/>
          <a:p>
            <a:pPr>
              <a:defRPr/>
            </a:pPr>
            <a:endParaRPr lang="en-US"/>
          </a:p>
        </c:txPr>
        <c:crossAx val="144496256"/>
        <c:crosses val="autoZero"/>
        <c:auto val="1"/>
        <c:lblAlgn val="ctr"/>
        <c:lblOffset val="100"/>
        <c:tickLblSkip val="1"/>
        <c:tickMarkSkip val="1"/>
        <c:noMultiLvlLbl val="0"/>
      </c:catAx>
      <c:valAx>
        <c:axId val="144496256"/>
        <c:scaling>
          <c:orientation val="minMax"/>
        </c:scaling>
        <c:delete val="0"/>
        <c:axPos val="l"/>
        <c:majorGridlines/>
        <c:numFmt formatCode="_(* #,##0_);_(* \(#,##0\);_(* &quot;-&quot;??_);_(@_)" sourceLinked="1"/>
        <c:majorTickMark val="out"/>
        <c:minorTickMark val="none"/>
        <c:tickLblPos val="nextTo"/>
        <c:crossAx val="134750720"/>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CC!$E$3:$G$3</c:f>
              <c:numCache>
                <c:formatCode>General</c:formatCode>
                <c:ptCount val="3"/>
                <c:pt idx="0">
                  <c:v>2012</c:v>
                </c:pt>
                <c:pt idx="1">
                  <c:v>2013</c:v>
                </c:pt>
                <c:pt idx="2">
                  <c:v>2014</c:v>
                </c:pt>
              </c:numCache>
            </c:numRef>
          </c:cat>
          <c:val>
            <c:numRef>
              <c:f>CC!$E$7:$G$7</c:f>
              <c:numCache>
                <c:formatCode>_(* #,##0_);_(* \(#,##0\);_(* "-"??_);_(@_)</c:formatCode>
                <c:ptCount val="3"/>
                <c:pt idx="0">
                  <c:v>56394</c:v>
                </c:pt>
                <c:pt idx="1">
                  <c:v>73598</c:v>
                </c:pt>
                <c:pt idx="2">
                  <c:v>35920</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CC!$E$3:$G$3</c:f>
              <c:numCache>
                <c:formatCode>General</c:formatCode>
                <c:ptCount val="3"/>
                <c:pt idx="0">
                  <c:v>2012</c:v>
                </c:pt>
                <c:pt idx="1">
                  <c:v>2013</c:v>
                </c:pt>
                <c:pt idx="2">
                  <c:v>2014</c:v>
                </c:pt>
              </c:numCache>
            </c:numRef>
          </c:cat>
          <c:val>
            <c:numRef>
              <c:f>CC!$E$6:$G$6</c:f>
              <c:numCache>
                <c:formatCode>_(* #,##0_);_(* \(#,##0\);_(* "-"??_);_(@_)</c:formatCode>
                <c:ptCount val="3"/>
                <c:pt idx="0">
                  <c:v>87170</c:v>
                </c:pt>
                <c:pt idx="1">
                  <c:v>87170</c:v>
                </c:pt>
                <c:pt idx="2">
                  <c:v>55920</c:v>
                </c:pt>
              </c:numCache>
            </c:numRef>
          </c:val>
        </c:ser>
        <c:dLbls>
          <c:showLegendKey val="0"/>
          <c:showVal val="1"/>
          <c:showCatName val="0"/>
          <c:showSerName val="0"/>
          <c:showPercent val="0"/>
          <c:showBubbleSize val="0"/>
        </c:dLbls>
        <c:gapWidth val="150"/>
        <c:axId val="587618304"/>
        <c:axId val="587587584"/>
      </c:barChart>
      <c:catAx>
        <c:axId val="587618304"/>
        <c:scaling>
          <c:orientation val="minMax"/>
        </c:scaling>
        <c:delete val="0"/>
        <c:axPos val="b"/>
        <c:numFmt formatCode="General" sourceLinked="1"/>
        <c:majorTickMark val="none"/>
        <c:minorTickMark val="none"/>
        <c:tickLblPos val="nextTo"/>
        <c:txPr>
          <a:bodyPr rot="0" vert="horz"/>
          <a:lstStyle/>
          <a:p>
            <a:pPr>
              <a:defRPr/>
            </a:pPr>
            <a:endParaRPr lang="en-US"/>
          </a:p>
        </c:txPr>
        <c:crossAx val="587587584"/>
        <c:crosses val="autoZero"/>
        <c:auto val="1"/>
        <c:lblAlgn val="ctr"/>
        <c:lblOffset val="100"/>
        <c:tickLblSkip val="1"/>
        <c:tickMarkSkip val="1"/>
        <c:noMultiLvlLbl val="0"/>
      </c:catAx>
      <c:valAx>
        <c:axId val="587587584"/>
        <c:scaling>
          <c:orientation val="minMax"/>
        </c:scaling>
        <c:delete val="0"/>
        <c:axPos val="l"/>
        <c:numFmt formatCode="_(* #,##0_);_(* \(#,##0\);_(* &quot;-&quot;??_);_(@_)" sourceLinked="1"/>
        <c:majorTickMark val="none"/>
        <c:minorTickMark val="none"/>
        <c:tickLblPos val="none"/>
        <c:crossAx val="587618304"/>
        <c:crosses val="autoZero"/>
        <c:crossBetween val="between"/>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layout/>
      <c:overlay val="0"/>
    </c:title>
    <c:autoTitleDeleted val="0"/>
    <c:plotArea>
      <c:layout/>
      <c:barChart>
        <c:barDir val="col"/>
        <c:grouping val="clustered"/>
        <c:varyColors val="0"/>
        <c:ser>
          <c:idx val="2"/>
          <c:order val="0"/>
          <c:tx>
            <c:v>Actuals</c:v>
          </c:tx>
          <c:invertIfNegative val="0"/>
          <c:dLbls>
            <c:dLbl>
              <c:idx val="0"/>
              <c:layout>
                <c:manualLayout>
                  <c:x val="-7.6690821256042681E-3"/>
                  <c:y val="0"/>
                </c:manualLayout>
              </c:layout>
              <c:dLblPos val="outEnd"/>
              <c:showLegendKey val="0"/>
              <c:showVal val="1"/>
              <c:showCatName val="0"/>
              <c:showSerName val="0"/>
              <c:showPercent val="0"/>
              <c:showBubbleSize val="0"/>
            </c:dLbl>
            <c:dLbl>
              <c:idx val="1"/>
              <c:layout>
                <c:manualLayout>
                  <c:x val="-6.3212202963108524E-3"/>
                  <c:y val="7.070083090442986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399E-2"/>
                  <c:y val="-1.5325476311581066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CAO!$E$3:$G$3</c:f>
              <c:numCache>
                <c:formatCode>General</c:formatCode>
                <c:ptCount val="3"/>
                <c:pt idx="0">
                  <c:v>2012</c:v>
                </c:pt>
                <c:pt idx="1">
                  <c:v>2013</c:v>
                </c:pt>
                <c:pt idx="2">
                  <c:v>2014</c:v>
                </c:pt>
              </c:numCache>
            </c:numRef>
          </c:cat>
          <c:val>
            <c:numRef>
              <c:f>CAO!$E$7:$G$7</c:f>
              <c:numCache>
                <c:formatCode>_(* #,##0_);_(* \(#,##0\);_(* "-"??_);_(@_)</c:formatCode>
                <c:ptCount val="3"/>
                <c:pt idx="0">
                  <c:v>1355389</c:v>
                </c:pt>
                <c:pt idx="1">
                  <c:v>1107178</c:v>
                </c:pt>
                <c:pt idx="2">
                  <c:v>1278215</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818E-4"/>
                </c:manualLayout>
              </c:layout>
              <c:dLblPos val="outEnd"/>
              <c:showLegendKey val="0"/>
              <c:showVal val="1"/>
              <c:showCatName val="0"/>
              <c:showSerName val="0"/>
              <c:showPercent val="0"/>
              <c:showBubbleSize val="0"/>
            </c:dLbl>
            <c:dLbl>
              <c:idx val="3"/>
              <c:layout>
                <c:manualLayout>
                  <c:x val="2.6841787439615999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CAO!$E$3:$G$3</c:f>
              <c:numCache>
                <c:formatCode>General</c:formatCode>
                <c:ptCount val="3"/>
                <c:pt idx="0">
                  <c:v>2012</c:v>
                </c:pt>
                <c:pt idx="1">
                  <c:v>2013</c:v>
                </c:pt>
                <c:pt idx="2">
                  <c:v>2014</c:v>
                </c:pt>
              </c:numCache>
            </c:numRef>
          </c:cat>
          <c:val>
            <c:numRef>
              <c:f>CAO!$E$6:$G$6</c:f>
              <c:numCache>
                <c:formatCode>_(* #,##0_);_(* \(#,##0\);_(* "-"??_);_(@_)</c:formatCode>
                <c:ptCount val="3"/>
                <c:pt idx="0">
                  <c:v>1577999</c:v>
                </c:pt>
                <c:pt idx="1">
                  <c:v>1354061</c:v>
                </c:pt>
                <c:pt idx="2">
                  <c:v>1278215</c:v>
                </c:pt>
              </c:numCache>
            </c:numRef>
          </c:val>
        </c:ser>
        <c:dLbls>
          <c:showLegendKey val="0"/>
          <c:showVal val="1"/>
          <c:showCatName val="0"/>
          <c:showSerName val="0"/>
          <c:showPercent val="0"/>
          <c:showBubbleSize val="0"/>
        </c:dLbls>
        <c:gapWidth val="150"/>
        <c:axId val="71617024"/>
        <c:axId val="98881472"/>
      </c:barChart>
      <c:catAx>
        <c:axId val="71617024"/>
        <c:scaling>
          <c:orientation val="minMax"/>
        </c:scaling>
        <c:delete val="0"/>
        <c:axPos val="b"/>
        <c:numFmt formatCode="General" sourceLinked="1"/>
        <c:majorTickMark val="none"/>
        <c:minorTickMark val="none"/>
        <c:tickLblPos val="nextTo"/>
        <c:txPr>
          <a:bodyPr rot="0" vert="horz"/>
          <a:lstStyle/>
          <a:p>
            <a:pPr>
              <a:defRPr/>
            </a:pPr>
            <a:endParaRPr lang="en-US"/>
          </a:p>
        </c:txPr>
        <c:crossAx val="98881472"/>
        <c:crosses val="autoZero"/>
        <c:auto val="1"/>
        <c:lblAlgn val="ctr"/>
        <c:lblOffset val="100"/>
        <c:tickLblSkip val="1"/>
        <c:tickMarkSkip val="1"/>
        <c:noMultiLvlLbl val="0"/>
      </c:catAx>
      <c:valAx>
        <c:axId val="98881472"/>
        <c:scaling>
          <c:orientation val="minMax"/>
        </c:scaling>
        <c:delete val="0"/>
        <c:axPos val="l"/>
        <c:numFmt formatCode="_(* #,##0_);_(* \(#,##0\);_(* &quot;-&quot;??_);_(@_)" sourceLinked="1"/>
        <c:majorTickMark val="none"/>
        <c:minorTickMark val="none"/>
        <c:tickLblPos val="none"/>
        <c:crossAx val="71617024"/>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layout/>
      <c:overlay val="0"/>
    </c:title>
    <c:autoTitleDeleted val="0"/>
    <c:plotArea>
      <c:layout/>
      <c:lineChart>
        <c:grouping val="standard"/>
        <c:varyColors val="0"/>
        <c:ser>
          <c:idx val="2"/>
          <c:order val="0"/>
          <c:tx>
            <c:strRef>
              <c:f>Legal!$J$3</c:f>
              <c:strCache>
                <c:ptCount val="1"/>
                <c:pt idx="0">
                  <c:v>2012</c:v>
                </c:pt>
              </c:strCache>
            </c:strRef>
          </c:tx>
          <c:marker>
            <c:symbol val="square"/>
            <c:size val="5"/>
          </c:marker>
          <c:cat>
            <c:strLit>
              <c:ptCount val="4"/>
              <c:pt idx="0">
                <c:v>Q1</c:v>
              </c:pt>
              <c:pt idx="1">
                <c:v> Q2</c:v>
              </c:pt>
              <c:pt idx="2">
                <c:v> Q3</c:v>
              </c:pt>
              <c:pt idx="3">
                <c:v> Year-End</c:v>
              </c:pt>
            </c:strLit>
          </c:cat>
          <c:val>
            <c:numRef>
              <c:f>Legal!$J$5:$J$8</c:f>
              <c:numCache>
                <c:formatCode>_(* #,##0_);_(* \(#,##0\);_(* "-"??_);_(@_)</c:formatCode>
                <c:ptCount val="4"/>
                <c:pt idx="1">
                  <c:v>-300000</c:v>
                </c:pt>
                <c:pt idx="2">
                  <c:v>-619000</c:v>
                </c:pt>
                <c:pt idx="3">
                  <c:v>-479405</c:v>
                </c:pt>
              </c:numCache>
            </c:numRef>
          </c:val>
          <c:smooth val="0"/>
        </c:ser>
        <c:ser>
          <c:idx val="0"/>
          <c:order val="1"/>
          <c:tx>
            <c:strRef>
              <c:f>Legal!$K$3</c:f>
              <c:strCache>
                <c:ptCount val="1"/>
                <c:pt idx="0">
                  <c:v>2013</c:v>
                </c:pt>
              </c:strCache>
            </c:strRef>
          </c:tx>
          <c:cat>
            <c:strLit>
              <c:ptCount val="4"/>
              <c:pt idx="0">
                <c:v>Q1</c:v>
              </c:pt>
              <c:pt idx="1">
                <c:v> Q2</c:v>
              </c:pt>
              <c:pt idx="2">
                <c:v> Q3</c:v>
              </c:pt>
              <c:pt idx="3">
                <c:v> Year-End</c:v>
              </c:pt>
            </c:strLit>
          </c:cat>
          <c:val>
            <c:numRef>
              <c:f>Legal!$K$5:$K$8</c:f>
              <c:numCache>
                <c:formatCode>_(* #,##0_);_(* \(#,##0\);_(* "-"??_);_(@_)</c:formatCode>
                <c:ptCount val="4"/>
                <c:pt idx="1">
                  <c:v>0</c:v>
                </c:pt>
                <c:pt idx="2">
                  <c:v>0</c:v>
                </c:pt>
                <c:pt idx="3">
                  <c:v>20708</c:v>
                </c:pt>
              </c:numCache>
            </c:numRef>
          </c:val>
          <c:smooth val="0"/>
        </c:ser>
        <c:ser>
          <c:idx val="1"/>
          <c:order val="2"/>
          <c:tx>
            <c:strRef>
              <c:f>Legal!$L$3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Legal!$L$5:$L$8</c:f>
              <c:numCache>
                <c:formatCode>_(* #,##0_);_(* \(#,##0\);_(* "-"??_);_(@_)</c:formatCode>
                <c:ptCount val="4"/>
                <c:pt idx="0">
                  <c:v>-919000</c:v>
                </c:pt>
                <c:pt idx="1">
                  <c:v>-946000</c:v>
                </c:pt>
                <c:pt idx="2">
                  <c:v>-1243000</c:v>
                </c:pt>
              </c:numCache>
            </c:numRef>
          </c:val>
          <c:smooth val="0"/>
        </c:ser>
        <c:dLbls>
          <c:showLegendKey val="0"/>
          <c:showVal val="0"/>
          <c:showCatName val="0"/>
          <c:showSerName val="0"/>
          <c:showPercent val="0"/>
          <c:showBubbleSize val="0"/>
        </c:dLbls>
        <c:marker val="1"/>
        <c:smooth val="0"/>
        <c:axId val="99227648"/>
        <c:axId val="98883776"/>
      </c:lineChart>
      <c:catAx>
        <c:axId val="99227648"/>
        <c:scaling>
          <c:orientation val="minMax"/>
        </c:scaling>
        <c:delete val="0"/>
        <c:axPos val="b"/>
        <c:numFmt formatCode="General" sourceLinked="1"/>
        <c:majorTickMark val="none"/>
        <c:minorTickMark val="none"/>
        <c:tickLblPos val="low"/>
        <c:txPr>
          <a:bodyPr rot="0" vert="horz"/>
          <a:lstStyle/>
          <a:p>
            <a:pPr>
              <a:defRPr/>
            </a:pPr>
            <a:endParaRPr lang="en-US"/>
          </a:p>
        </c:txPr>
        <c:crossAx val="98883776"/>
        <c:crosses val="autoZero"/>
        <c:auto val="1"/>
        <c:lblAlgn val="ctr"/>
        <c:lblOffset val="100"/>
        <c:tickLblSkip val="1"/>
        <c:tickMarkSkip val="1"/>
        <c:noMultiLvlLbl val="0"/>
      </c:catAx>
      <c:valAx>
        <c:axId val="98883776"/>
        <c:scaling>
          <c:orientation val="minMax"/>
        </c:scaling>
        <c:delete val="0"/>
        <c:axPos val="l"/>
        <c:majorGridlines/>
        <c:numFmt formatCode="_(* #,##0_);_(* \(#,##0\);_(* &quot;-&quot;??_);_(@_)" sourceLinked="1"/>
        <c:majorTickMark val="out"/>
        <c:minorTickMark val="none"/>
        <c:tickLblPos val="nextTo"/>
        <c:crossAx val="99227648"/>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Year End Actuals vs. Year End Net Budget</a:t>
            </a:r>
          </a:p>
        </c:rich>
      </c:tx>
      <c:layout/>
      <c:overlay val="0"/>
    </c:title>
    <c:autoTitleDeleted val="0"/>
    <c:plotArea>
      <c:layout/>
      <c:barChart>
        <c:barDir val="col"/>
        <c:grouping val="clustered"/>
        <c:varyColors val="0"/>
        <c:ser>
          <c:idx val="2"/>
          <c:order val="0"/>
          <c:tx>
            <c:v>Actuals</c:v>
          </c:tx>
          <c:invertIfNegative val="0"/>
          <c:dLbls>
            <c:dLbl>
              <c:idx val="0"/>
              <c:layout>
                <c:manualLayout>
                  <c:x val="-7.6690821256042742E-3"/>
                  <c:y val="0"/>
                </c:manualLayout>
              </c:layout>
              <c:dLblPos val="outEnd"/>
              <c:showLegendKey val="0"/>
              <c:showVal val="1"/>
              <c:showCatName val="0"/>
              <c:showSerName val="0"/>
              <c:showPercent val="0"/>
              <c:showBubbleSize val="0"/>
            </c:dLbl>
            <c:dLbl>
              <c:idx val="1"/>
              <c:layout>
                <c:manualLayout>
                  <c:x val="-6.3212202963108524E-3"/>
                  <c:y val="7.0700830904429921E-3"/>
                </c:manualLayout>
              </c:layout>
              <c:dLblPos val="outEnd"/>
              <c:showLegendKey val="0"/>
              <c:showVal val="1"/>
              <c:showCatName val="0"/>
              <c:showSerName val="0"/>
              <c:showPercent val="0"/>
              <c:showBubbleSize val="0"/>
            </c:dLbl>
            <c:dLbl>
              <c:idx val="2"/>
              <c:layout>
                <c:manualLayout>
                  <c:x val="-8.9124981405943708E-3"/>
                  <c:y val="0"/>
                </c:manualLayout>
              </c:layout>
              <c:dLblPos val="outEnd"/>
              <c:showLegendKey val="0"/>
              <c:showVal val="1"/>
              <c:showCatName val="0"/>
              <c:showSerName val="0"/>
              <c:showPercent val="0"/>
              <c:showBubbleSize val="0"/>
            </c:dLbl>
            <c:dLbl>
              <c:idx val="3"/>
              <c:layout>
                <c:manualLayout>
                  <c:x val="-3.0676328502417419E-2"/>
                  <c:y val="-1.5325476311581078E-2"/>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Legal!$E$3:$G$3</c:f>
              <c:numCache>
                <c:formatCode>General</c:formatCode>
                <c:ptCount val="3"/>
                <c:pt idx="0">
                  <c:v>2012</c:v>
                </c:pt>
                <c:pt idx="1">
                  <c:v>2013</c:v>
                </c:pt>
                <c:pt idx="2">
                  <c:v>2014</c:v>
                </c:pt>
              </c:numCache>
            </c:numRef>
          </c:cat>
          <c:val>
            <c:numRef>
              <c:f>Legal!$E$7:$G$7</c:f>
              <c:numCache>
                <c:formatCode>_(* #,##0_);_(* \(#,##0\);_(* "-"??_);_(@_)</c:formatCode>
                <c:ptCount val="3"/>
                <c:pt idx="0">
                  <c:v>7645241</c:v>
                </c:pt>
                <c:pt idx="1">
                  <c:v>6811947</c:v>
                </c:pt>
                <c:pt idx="2">
                  <c:v>6275141.3900000006</c:v>
                </c:pt>
              </c:numCache>
            </c:numRef>
          </c:val>
        </c:ser>
        <c:ser>
          <c:idx val="0"/>
          <c:order val="1"/>
          <c:tx>
            <c:v>Budget</c:v>
          </c:tx>
          <c:invertIfNegative val="0"/>
          <c:dLbls>
            <c:dLbl>
              <c:idx val="0"/>
              <c:layout>
                <c:manualLayout>
                  <c:x val="-1.0448088935752561E-4"/>
                  <c:y val="-4.087527733066516E-3"/>
                </c:manualLayout>
              </c:layout>
              <c:dLblPos val="outEnd"/>
              <c:showLegendKey val="0"/>
              <c:showVal val="1"/>
              <c:showCatName val="0"/>
              <c:showSerName val="0"/>
              <c:showPercent val="0"/>
              <c:showBubbleSize val="0"/>
            </c:dLbl>
            <c:dLbl>
              <c:idx val="1"/>
              <c:layout>
                <c:manualLayout>
                  <c:x val="5.1709185919315511E-4"/>
                  <c:y val="8.551500123258074E-3"/>
                </c:manualLayout>
              </c:layout>
              <c:dLblPos val="outEnd"/>
              <c:showLegendKey val="0"/>
              <c:showVal val="1"/>
              <c:showCatName val="0"/>
              <c:showSerName val="0"/>
              <c:showPercent val="0"/>
              <c:showBubbleSize val="0"/>
            </c:dLbl>
            <c:dLbl>
              <c:idx val="2"/>
              <c:layout>
                <c:manualLayout>
                  <c:x val="3.7301954323889852E-3"/>
                  <c:y val="8.8861820449255959E-4"/>
                </c:manualLayout>
              </c:layout>
              <c:dLblPos val="outEnd"/>
              <c:showLegendKey val="0"/>
              <c:showVal val="1"/>
              <c:showCatName val="0"/>
              <c:showSerName val="0"/>
              <c:showPercent val="0"/>
              <c:showBubbleSize val="0"/>
            </c:dLbl>
            <c:dLbl>
              <c:idx val="3"/>
              <c:layout>
                <c:manualLayout>
                  <c:x val="2.6841787439616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numRef>
              <c:f>Legal!$E$3:$G$3</c:f>
              <c:numCache>
                <c:formatCode>General</c:formatCode>
                <c:ptCount val="3"/>
                <c:pt idx="0">
                  <c:v>2012</c:v>
                </c:pt>
                <c:pt idx="1">
                  <c:v>2013</c:v>
                </c:pt>
                <c:pt idx="2">
                  <c:v>2014</c:v>
                </c:pt>
              </c:numCache>
            </c:numRef>
          </c:cat>
          <c:val>
            <c:numRef>
              <c:f>Legal!$E$6:$G$6</c:f>
              <c:numCache>
                <c:formatCode>_(* #,##0_);_(* \(#,##0\);_(* "-"??_);_(@_)</c:formatCode>
                <c:ptCount val="3"/>
                <c:pt idx="0">
                  <c:v>7165836</c:v>
                </c:pt>
                <c:pt idx="1">
                  <c:v>6832655</c:v>
                </c:pt>
                <c:pt idx="2">
                  <c:v>5329141.3900000006</c:v>
                </c:pt>
              </c:numCache>
            </c:numRef>
          </c:val>
        </c:ser>
        <c:dLbls>
          <c:showLegendKey val="0"/>
          <c:showVal val="1"/>
          <c:showCatName val="0"/>
          <c:showSerName val="0"/>
          <c:showPercent val="0"/>
          <c:showBubbleSize val="0"/>
        </c:dLbls>
        <c:gapWidth val="150"/>
        <c:axId val="99299328"/>
        <c:axId val="99377728"/>
      </c:barChart>
      <c:catAx>
        <c:axId val="99299328"/>
        <c:scaling>
          <c:orientation val="minMax"/>
        </c:scaling>
        <c:delete val="0"/>
        <c:axPos val="b"/>
        <c:numFmt formatCode="General" sourceLinked="1"/>
        <c:majorTickMark val="none"/>
        <c:minorTickMark val="none"/>
        <c:tickLblPos val="nextTo"/>
        <c:txPr>
          <a:bodyPr rot="0" vert="horz"/>
          <a:lstStyle/>
          <a:p>
            <a:pPr>
              <a:defRPr/>
            </a:pPr>
            <a:endParaRPr lang="en-US"/>
          </a:p>
        </c:txPr>
        <c:crossAx val="99377728"/>
        <c:crosses val="autoZero"/>
        <c:auto val="1"/>
        <c:lblAlgn val="ctr"/>
        <c:lblOffset val="100"/>
        <c:tickLblSkip val="1"/>
        <c:tickMarkSkip val="1"/>
        <c:noMultiLvlLbl val="0"/>
      </c:catAx>
      <c:valAx>
        <c:axId val="99377728"/>
        <c:scaling>
          <c:orientation val="minMax"/>
        </c:scaling>
        <c:delete val="0"/>
        <c:axPos val="l"/>
        <c:numFmt formatCode="_(* #,##0_);_(* \(#,##0\);_(* &quot;-&quot;??_);_(@_)" sourceLinked="1"/>
        <c:majorTickMark val="none"/>
        <c:minorTickMark val="none"/>
        <c:tickLblPos val="none"/>
        <c:crossAx val="99299328"/>
        <c:crosses val="autoZero"/>
        <c:crossBetween val="between"/>
        <c:dispUnits>
          <c:builtInUnit val="thousands"/>
          <c:dispUnitsLbl>
            <c:layout/>
          </c:dispUnitsLbl>
        </c:dispUnits>
      </c:valAx>
    </c:plotArea>
    <c:legend>
      <c:legendPos val="r"/>
      <c:layout/>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a:latin typeface="Arial" pitchFamily="34" charset="0"/>
                <a:cs typeface="Arial" pitchFamily="34" charset="0"/>
              </a:defRPr>
            </a:pPr>
            <a:r>
              <a:rPr lang="en-CA" sz="1000">
                <a:latin typeface="Arial" pitchFamily="34" charset="0"/>
                <a:cs typeface="Arial" pitchFamily="34" charset="0"/>
              </a:rPr>
              <a:t>Quarterly Year End Variance Projections *</a:t>
            </a:r>
          </a:p>
        </c:rich>
      </c:tx>
      <c:overlay val="0"/>
    </c:title>
    <c:autoTitleDeleted val="0"/>
    <c:plotArea>
      <c:layout/>
      <c:lineChart>
        <c:grouping val="standard"/>
        <c:varyColors val="0"/>
        <c:ser>
          <c:idx val="2"/>
          <c:order val="0"/>
          <c:tx>
            <c:strRef>
              <c:f>FRS!$J$3</c:f>
              <c:strCache>
                <c:ptCount val="1"/>
                <c:pt idx="0">
                  <c:v>2012</c:v>
                </c:pt>
              </c:strCache>
            </c:strRef>
          </c:tx>
          <c:marker>
            <c:symbol val="square"/>
            <c:size val="5"/>
          </c:marker>
          <c:cat>
            <c:strLit>
              <c:ptCount val="4"/>
              <c:pt idx="0">
                <c:v>Q1</c:v>
              </c:pt>
              <c:pt idx="1">
                <c:v> Q2</c:v>
              </c:pt>
              <c:pt idx="2">
                <c:v> Q3</c:v>
              </c:pt>
              <c:pt idx="3">
                <c:v> Year-End</c:v>
              </c:pt>
            </c:strLit>
          </c:cat>
          <c:val>
            <c:numRef>
              <c:f>FRS!$J$5:$J$8</c:f>
              <c:numCache>
                <c:formatCode>_(* #,##0_);_(* \(#,##0\);_(* "-"??_);_(@_)</c:formatCode>
                <c:ptCount val="4"/>
                <c:pt idx="1">
                  <c:v>10000</c:v>
                </c:pt>
                <c:pt idx="2">
                  <c:v>134000</c:v>
                </c:pt>
                <c:pt idx="3">
                  <c:v>114938</c:v>
                </c:pt>
              </c:numCache>
            </c:numRef>
          </c:val>
          <c:smooth val="0"/>
        </c:ser>
        <c:ser>
          <c:idx val="0"/>
          <c:order val="1"/>
          <c:tx>
            <c:strRef>
              <c:f>FRS!$K$3</c:f>
              <c:strCache>
                <c:ptCount val="1"/>
                <c:pt idx="0">
                  <c:v>2013</c:v>
                </c:pt>
              </c:strCache>
            </c:strRef>
          </c:tx>
          <c:cat>
            <c:strLit>
              <c:ptCount val="4"/>
              <c:pt idx="0">
                <c:v>Q1</c:v>
              </c:pt>
              <c:pt idx="1">
                <c:v> Q2</c:v>
              </c:pt>
              <c:pt idx="2">
                <c:v> Q3</c:v>
              </c:pt>
              <c:pt idx="3">
                <c:v> Year-End</c:v>
              </c:pt>
            </c:strLit>
          </c:cat>
          <c:val>
            <c:numRef>
              <c:f>FRS!$K$5:$K$8</c:f>
              <c:numCache>
                <c:formatCode>_(* #,##0_);_(* \(#,##0\);_(* "-"??_);_(@_)</c:formatCode>
                <c:ptCount val="4"/>
                <c:pt idx="1">
                  <c:v>60000</c:v>
                </c:pt>
                <c:pt idx="2">
                  <c:v>-45000</c:v>
                </c:pt>
                <c:pt idx="3">
                  <c:v>-144584</c:v>
                </c:pt>
              </c:numCache>
            </c:numRef>
          </c:val>
          <c:smooth val="0"/>
        </c:ser>
        <c:ser>
          <c:idx val="1"/>
          <c:order val="2"/>
          <c:tx>
            <c:strRef>
              <c:f>FRS!$L$3</c:f>
              <c:strCache>
                <c:ptCount val="1"/>
                <c:pt idx="0">
                  <c:v>2014</c:v>
                </c:pt>
              </c:strCache>
            </c:strRef>
          </c:tx>
          <c:spPr>
            <a:ln>
              <a:solidFill>
                <a:srgbClr val="7030A0"/>
              </a:solidFill>
            </a:ln>
          </c:spPr>
          <c:marker>
            <c:symbol val="square"/>
            <c:size val="5"/>
            <c:spPr>
              <a:solidFill>
                <a:srgbClr val="7030A0"/>
              </a:solidFill>
              <a:ln>
                <a:solidFill>
                  <a:srgbClr val="7030A0"/>
                </a:solidFill>
              </a:ln>
            </c:spPr>
          </c:marker>
          <c:cat>
            <c:strLit>
              <c:ptCount val="4"/>
              <c:pt idx="0">
                <c:v>Q1</c:v>
              </c:pt>
              <c:pt idx="1">
                <c:v> Q2</c:v>
              </c:pt>
              <c:pt idx="2">
                <c:v> Q3</c:v>
              </c:pt>
              <c:pt idx="3">
                <c:v> Year-End</c:v>
              </c:pt>
            </c:strLit>
          </c:cat>
          <c:val>
            <c:numRef>
              <c:f>FRS!$L$5:$L$8</c:f>
              <c:numCache>
                <c:formatCode>_(* #,##0_);_(* \(#,##0\);_(* "-"??_);_(@_)</c:formatCode>
                <c:ptCount val="4"/>
                <c:pt idx="0">
                  <c:v>200000</c:v>
                </c:pt>
                <c:pt idx="1">
                  <c:v>0</c:v>
                </c:pt>
                <c:pt idx="2">
                  <c:v>-440000</c:v>
                </c:pt>
              </c:numCache>
            </c:numRef>
          </c:val>
          <c:smooth val="0"/>
        </c:ser>
        <c:dLbls>
          <c:showLegendKey val="0"/>
          <c:showVal val="0"/>
          <c:showCatName val="0"/>
          <c:showSerName val="0"/>
          <c:showPercent val="0"/>
          <c:showBubbleSize val="0"/>
        </c:dLbls>
        <c:marker val="1"/>
        <c:smooth val="0"/>
        <c:axId val="99301376"/>
        <c:axId val="99380608"/>
      </c:lineChart>
      <c:catAx>
        <c:axId val="99301376"/>
        <c:scaling>
          <c:orientation val="minMax"/>
        </c:scaling>
        <c:delete val="0"/>
        <c:axPos val="b"/>
        <c:numFmt formatCode="General" sourceLinked="1"/>
        <c:majorTickMark val="none"/>
        <c:minorTickMark val="none"/>
        <c:tickLblPos val="low"/>
        <c:txPr>
          <a:bodyPr rot="0" vert="horz"/>
          <a:lstStyle/>
          <a:p>
            <a:pPr>
              <a:defRPr/>
            </a:pPr>
            <a:endParaRPr lang="en-US"/>
          </a:p>
        </c:txPr>
        <c:crossAx val="99380608"/>
        <c:crosses val="autoZero"/>
        <c:auto val="1"/>
        <c:lblAlgn val="ctr"/>
        <c:lblOffset val="100"/>
        <c:tickLblSkip val="1"/>
        <c:tickMarkSkip val="1"/>
        <c:noMultiLvlLbl val="0"/>
      </c:catAx>
      <c:valAx>
        <c:axId val="99380608"/>
        <c:scaling>
          <c:orientation val="minMax"/>
        </c:scaling>
        <c:delete val="0"/>
        <c:axPos val="l"/>
        <c:majorGridlines/>
        <c:numFmt formatCode="_(* #,##0_);_(* \(#,##0\);_(* &quot;-&quot;??_);_(@_)" sourceLinked="1"/>
        <c:majorTickMark val="out"/>
        <c:minorTickMark val="none"/>
        <c:tickLblPos val="nextTo"/>
        <c:crossAx val="99301376"/>
        <c:crosses val="autoZero"/>
        <c:crossBetween val="between"/>
        <c:majorUnit val="100000"/>
        <c:dispUnits>
          <c:builtInUnit val="thousands"/>
          <c:dispUnitsLbl/>
        </c:dispUnits>
      </c:valAx>
    </c:plotArea>
    <c:legend>
      <c:legendPos val="r"/>
      <c:overlay val="0"/>
    </c:legend>
    <c:plotVisOnly val="1"/>
    <c:dispBlanksAs val="gap"/>
    <c:showDLblsOverMax val="0"/>
  </c:chart>
  <c:printSettings>
    <c:headerFooter alignWithMargins="0"/>
    <c:pageMargins b="1" l="0.75000000000001465" r="0.75000000000001465" t="1" header="0.5" footer="0.5"/>
    <c:pageSetup orientation="landscape"/>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51</xdr:col>
      <xdr:colOff>38100</xdr:colOff>
      <xdr:row>0</xdr:row>
      <xdr:rowOff>57150</xdr:rowOff>
    </xdr:from>
    <xdr:to>
      <xdr:col>52</xdr:col>
      <xdr:colOff>316050</xdr:colOff>
      <xdr:row>2</xdr:row>
      <xdr:rowOff>9675</xdr:rowOff>
    </xdr:to>
    <xdr:sp macro="[0]!protect_all_sheets" textlink="">
      <xdr:nvSpPr>
        <xdr:cNvPr id="2" name="Rounded Rectangle 1"/>
        <xdr:cNvSpPr/>
      </xdr:nvSpPr>
      <xdr:spPr>
        <a:xfrm>
          <a:off x="10258425" y="57150"/>
          <a:ext cx="1440000" cy="32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CA" sz="1100"/>
            <a:t>Lock</a:t>
          </a:r>
          <a:r>
            <a:rPr lang="en-CA" sz="1100" baseline="0"/>
            <a:t> Worksheets</a:t>
          </a:r>
          <a:endParaRPr lang="en-CA" sz="1100"/>
        </a:p>
      </xdr:txBody>
    </xdr:sp>
    <xdr:clientData/>
  </xdr:twoCellAnchor>
  <xdr:twoCellAnchor>
    <xdr:from>
      <xdr:col>51</xdr:col>
      <xdr:colOff>38100</xdr:colOff>
      <xdr:row>2</xdr:row>
      <xdr:rowOff>47625</xdr:rowOff>
    </xdr:from>
    <xdr:to>
      <xdr:col>52</xdr:col>
      <xdr:colOff>316050</xdr:colOff>
      <xdr:row>3</xdr:row>
      <xdr:rowOff>209700</xdr:rowOff>
    </xdr:to>
    <xdr:sp macro="[0]!unprotect_all_sheets" textlink="">
      <xdr:nvSpPr>
        <xdr:cNvPr id="3" name="Rounded Rectangle 2"/>
        <xdr:cNvSpPr/>
      </xdr:nvSpPr>
      <xdr:spPr>
        <a:xfrm>
          <a:off x="10258425" y="419100"/>
          <a:ext cx="1440000" cy="324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CA" sz="1100"/>
            <a:t>Unlock</a:t>
          </a:r>
          <a:r>
            <a:rPr lang="en-CA" sz="1100" baseline="0"/>
            <a:t> Worksheets</a:t>
          </a:r>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8</xdr:col>
      <xdr:colOff>19051</xdr:colOff>
      <xdr:row>9</xdr:row>
      <xdr:rowOff>53974</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20</xdr:row>
      <xdr:rowOff>3174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7</xdr:col>
      <xdr:colOff>111126</xdr:colOff>
      <xdr:row>9</xdr:row>
      <xdr:rowOff>57149</xdr:rowOff>
    </xdr:from>
    <xdr:to>
      <xdr:col>12</xdr:col>
      <xdr:colOff>107950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57149</xdr:rowOff>
    </xdr:from>
    <xdr:to>
      <xdr:col>7</xdr:col>
      <xdr:colOff>85726</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7</xdr:col>
      <xdr:colOff>90488</xdr:colOff>
      <xdr:row>9</xdr:row>
      <xdr:rowOff>57149</xdr:rowOff>
    </xdr:from>
    <xdr:to>
      <xdr:col>12</xdr:col>
      <xdr:colOff>50006</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7</xdr:col>
      <xdr:colOff>71967</xdr:colOff>
      <xdr:row>9</xdr:row>
      <xdr:rowOff>57149</xdr:rowOff>
    </xdr:from>
    <xdr:to>
      <xdr:col>11</xdr:col>
      <xdr:colOff>847725</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104775</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8</xdr:col>
      <xdr:colOff>1853</xdr:colOff>
      <xdr:row>9</xdr:row>
      <xdr:rowOff>57149</xdr:rowOff>
    </xdr:from>
    <xdr:to>
      <xdr:col>12</xdr:col>
      <xdr:colOff>109537</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7</xdr:col>
      <xdr:colOff>104776</xdr:colOff>
      <xdr:row>9</xdr:row>
      <xdr:rowOff>57149</xdr:rowOff>
    </xdr:from>
    <xdr:to>
      <xdr:col>12</xdr:col>
      <xdr:colOff>66675</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7</xdr:col>
      <xdr:colOff>135467</xdr:colOff>
      <xdr:row>9</xdr:row>
      <xdr:rowOff>57149</xdr:rowOff>
    </xdr:from>
    <xdr:to>
      <xdr:col>12</xdr:col>
      <xdr:colOff>6350</xdr:colOff>
      <xdr:row>20</xdr:row>
      <xdr:rowOff>38899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70624</xdr:colOff>
      <xdr:row>20</xdr:row>
      <xdr:rowOff>38899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20</xdr:row>
      <xdr:rowOff>3174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8</xdr:col>
      <xdr:colOff>19051</xdr:colOff>
      <xdr:row>9</xdr:row>
      <xdr:rowOff>57149</xdr:rowOff>
    </xdr:from>
    <xdr:to>
      <xdr:col>12</xdr:col>
      <xdr:colOff>133350</xdr:colOff>
      <xdr:row>20</xdr:row>
      <xdr:rowOff>3174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9</xdr:row>
      <xdr:rowOff>57149</xdr:rowOff>
    </xdr:from>
    <xdr:to>
      <xdr:col>7</xdr:col>
      <xdr:colOff>133350</xdr:colOff>
      <xdr:row>19</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7</xdr:col>
      <xdr:colOff>47626</xdr:colOff>
      <xdr:row>9</xdr:row>
      <xdr:rowOff>28575</xdr:rowOff>
    </xdr:from>
    <xdr:to>
      <xdr:col>12</xdr:col>
      <xdr:colOff>76200</xdr:colOff>
      <xdr:row>19</xdr:row>
      <xdr:rowOff>126999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9</xdr:row>
      <xdr:rowOff>28575</xdr:rowOff>
    </xdr:from>
    <xdr:to>
      <xdr:col>7</xdr:col>
      <xdr:colOff>57151</xdr:colOff>
      <xdr:row>19</xdr:row>
      <xdr:rowOff>114301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124"/>
  <sheetViews>
    <sheetView showGridLines="0" tabSelected="1" zoomScaleNormal="100" workbookViewId="0">
      <pane xSplit="4" ySplit="6" topLeftCell="AJ7" activePane="bottomRight" state="frozen"/>
      <selection activeCell="C67" sqref="C67"/>
      <selection pane="topRight" activeCell="C67" sqref="C67"/>
      <selection pane="bottomLeft" activeCell="C67" sqref="C67"/>
      <selection pane="bottomRight" activeCell="B1" sqref="B1"/>
    </sheetView>
  </sheetViews>
  <sheetFormatPr defaultColWidth="9.109375" defaultRowHeight="13.2" outlineLevelRow="1" x14ac:dyDescent="0.25"/>
  <cols>
    <col min="1" max="1" width="0.88671875" style="95" customWidth="1"/>
    <col min="2" max="2" width="40.5546875" style="95" customWidth="1"/>
    <col min="3" max="3" width="5.5546875" style="94" customWidth="1"/>
    <col min="4" max="4" width="0.109375" style="95" customWidth="1"/>
    <col min="5" max="6" width="12.44140625" style="95" hidden="1" customWidth="1"/>
    <col min="7" max="7" width="12.33203125" style="95" hidden="1" customWidth="1"/>
    <col min="8" max="9" width="11.33203125" style="95" hidden="1" customWidth="1"/>
    <col min="10" max="10" width="10.5546875" style="95" hidden="1" customWidth="1"/>
    <col min="11" max="11" width="7" style="95" hidden="1" customWidth="1"/>
    <col min="12" max="12" width="1.33203125" style="95" hidden="1" customWidth="1"/>
    <col min="13" max="13" width="13.109375" style="95" hidden="1" customWidth="1"/>
    <col min="14" max="15" width="12.5546875" style="95" hidden="1" customWidth="1"/>
    <col min="16" max="17" width="11.33203125" style="95" hidden="1" customWidth="1"/>
    <col min="18" max="18" width="11.88671875" style="95" hidden="1" customWidth="1"/>
    <col min="19" max="19" width="7.44140625" style="94" hidden="1" customWidth="1"/>
    <col min="20" max="20" width="1.33203125" style="95" hidden="1" customWidth="1"/>
    <col min="21" max="22" width="12.33203125" style="95" hidden="1" customWidth="1"/>
    <col min="23" max="26" width="10.88671875" style="95" hidden="1" customWidth="1"/>
    <col min="27" max="27" width="7.33203125" style="94" hidden="1" customWidth="1"/>
    <col min="28" max="28" width="1.33203125" style="95" hidden="1" customWidth="1"/>
    <col min="29" max="30" width="12.33203125" style="95" hidden="1" customWidth="1"/>
    <col min="31" max="31" width="11.44140625" style="95" hidden="1" customWidth="1"/>
    <col min="32" max="32" width="10.6640625" style="95" hidden="1" customWidth="1"/>
    <col min="33" max="33" width="10.88671875" style="95" hidden="1" customWidth="1"/>
    <col min="34" max="34" width="11.5546875" style="95" hidden="1" customWidth="1"/>
    <col min="35" max="35" width="7.44140625" style="94" hidden="1" customWidth="1"/>
    <col min="36" max="36" width="0.5546875" style="94" customWidth="1"/>
    <col min="37" max="37" width="12.33203125" style="95" hidden="1" customWidth="1"/>
    <col min="38" max="38" width="12.33203125" style="95" customWidth="1"/>
    <col min="39" max="39" width="8.88671875" style="95" hidden="1" customWidth="1"/>
    <col min="40" max="40" width="9.6640625" style="95" hidden="1" customWidth="1"/>
    <col min="41" max="41" width="11" style="95" customWidth="1"/>
    <col min="42" max="42" width="11.5546875" style="95" customWidth="1"/>
    <col min="43" max="43" width="6.33203125" style="94" customWidth="1"/>
    <col min="44" max="44" width="1" style="94" customWidth="1"/>
    <col min="45" max="45" width="11.88671875" style="95" customWidth="1"/>
    <col min="46" max="46" width="12.5546875" style="95" customWidth="1"/>
    <col min="47" max="47" width="11.44140625" style="95" hidden="1" customWidth="1"/>
    <col min="48" max="48" width="10.6640625" style="95" customWidth="1"/>
    <col min="49" max="49" width="11" style="95" customWidth="1"/>
    <col min="50" max="50" width="11.5546875" style="95" hidden="1" customWidth="1"/>
    <col min="51" max="51" width="6.109375" style="94" customWidth="1"/>
    <col min="52" max="52" width="17.44140625" style="97" customWidth="1"/>
    <col min="53" max="53" width="10.5546875" style="97" customWidth="1"/>
    <col min="54" max="54" width="10" style="95" bestFit="1" customWidth="1"/>
    <col min="55" max="16384" width="9.109375" style="95"/>
  </cols>
  <sheetData>
    <row r="1" spans="1:53" ht="15.6" x14ac:dyDescent="0.3">
      <c r="A1" s="90" t="s">
        <v>284</v>
      </c>
      <c r="B1" s="91"/>
      <c r="C1" s="92"/>
      <c r="D1" s="92"/>
      <c r="E1" s="92"/>
      <c r="F1" s="92"/>
      <c r="G1" s="92"/>
      <c r="H1" s="92"/>
      <c r="I1" s="92"/>
      <c r="J1" s="92"/>
      <c r="K1" s="92"/>
      <c r="L1" s="92"/>
      <c r="M1" s="92"/>
      <c r="N1" s="92"/>
      <c r="O1" s="92"/>
      <c r="P1" s="92"/>
      <c r="Q1" s="92"/>
      <c r="R1" s="92"/>
      <c r="S1" s="93"/>
      <c r="T1" s="92"/>
      <c r="U1" s="92"/>
      <c r="V1" s="92"/>
      <c r="W1" s="92"/>
      <c r="X1" s="92"/>
      <c r="Y1" s="92"/>
      <c r="Z1" s="92"/>
      <c r="AB1" s="92"/>
      <c r="AC1" s="92"/>
      <c r="AD1" s="92"/>
      <c r="AE1" s="92"/>
      <c r="AF1" s="92"/>
      <c r="AG1" s="92"/>
      <c r="AH1" s="92"/>
      <c r="AK1" s="92"/>
      <c r="AL1" s="92"/>
      <c r="AM1" s="92"/>
      <c r="AN1" s="92"/>
      <c r="AO1" s="92"/>
      <c r="AP1" s="92"/>
      <c r="AS1" s="92"/>
      <c r="AT1" s="92"/>
      <c r="AU1" s="92"/>
      <c r="AV1" s="92"/>
      <c r="AW1" s="92"/>
      <c r="AX1" s="92"/>
    </row>
    <row r="2" spans="1:53" ht="13.8" thickBot="1" x14ac:dyDescent="0.3">
      <c r="A2" s="93"/>
      <c r="B2" s="93"/>
      <c r="C2" s="93"/>
      <c r="D2" s="93"/>
      <c r="E2" s="93"/>
      <c r="F2" s="93"/>
      <c r="G2" s="93"/>
      <c r="H2" s="93"/>
      <c r="I2" s="93"/>
      <c r="J2" s="93"/>
      <c r="K2" s="93"/>
      <c r="L2" s="93"/>
      <c r="M2" s="93"/>
      <c r="N2" s="93"/>
      <c r="O2" s="93"/>
      <c r="P2" s="93"/>
      <c r="Q2" s="93"/>
      <c r="R2" s="93"/>
      <c r="S2" s="93"/>
      <c r="T2" s="93"/>
      <c r="U2" s="93"/>
      <c r="V2" s="93"/>
      <c r="W2" s="93"/>
      <c r="X2" s="93"/>
      <c r="Y2" s="93"/>
      <c r="Z2" s="93"/>
      <c r="AB2" s="93"/>
      <c r="AC2" s="93"/>
      <c r="AD2" s="93"/>
      <c r="AE2" s="93"/>
      <c r="AF2" s="93"/>
      <c r="AG2" s="93"/>
      <c r="AH2" s="93"/>
      <c r="AK2" s="93"/>
      <c r="AL2" s="93"/>
      <c r="AM2" s="93"/>
      <c r="AN2" s="93"/>
      <c r="AO2" s="93"/>
      <c r="AP2" s="93"/>
      <c r="AS2" s="93"/>
      <c r="AT2" s="93"/>
      <c r="AU2" s="93"/>
      <c r="AV2" s="93"/>
      <c r="AW2" s="93"/>
      <c r="AX2" s="93"/>
    </row>
    <row r="3" spans="1:53" ht="12.75" customHeight="1" thickBot="1" x14ac:dyDescent="0.3">
      <c r="A3" s="524" t="s">
        <v>45</v>
      </c>
      <c r="B3" s="525"/>
      <c r="C3" s="530" t="s">
        <v>46</v>
      </c>
      <c r="D3" s="99"/>
      <c r="E3" s="518">
        <v>2008</v>
      </c>
      <c r="F3" s="519"/>
      <c r="G3" s="519"/>
      <c r="H3" s="519"/>
      <c r="I3" s="519"/>
      <c r="J3" s="519"/>
      <c r="K3" s="520"/>
      <c r="L3" s="99"/>
      <c r="M3" s="518">
        <v>2009</v>
      </c>
      <c r="N3" s="519"/>
      <c r="O3" s="519"/>
      <c r="P3" s="519"/>
      <c r="Q3" s="519"/>
      <c r="R3" s="519"/>
      <c r="S3" s="520"/>
      <c r="T3" s="99"/>
      <c r="U3" s="518">
        <v>2010</v>
      </c>
      <c r="V3" s="519"/>
      <c r="W3" s="519"/>
      <c r="X3" s="519"/>
      <c r="Y3" s="519"/>
      <c r="Z3" s="519"/>
      <c r="AA3" s="520"/>
      <c r="AB3" s="99"/>
      <c r="AC3" s="518">
        <v>2012</v>
      </c>
      <c r="AD3" s="519"/>
      <c r="AE3" s="519"/>
      <c r="AF3" s="519"/>
      <c r="AG3" s="519"/>
      <c r="AH3" s="519"/>
      <c r="AI3" s="519"/>
      <c r="AJ3" s="447"/>
      <c r="AK3" s="543">
        <v>2013</v>
      </c>
      <c r="AL3" s="535"/>
      <c r="AM3" s="535"/>
      <c r="AN3" s="535"/>
      <c r="AO3" s="535"/>
      <c r="AP3" s="535"/>
      <c r="AQ3" s="544"/>
      <c r="AR3" s="447"/>
      <c r="AS3" s="534">
        <v>2014</v>
      </c>
      <c r="AT3" s="535"/>
      <c r="AU3" s="535"/>
      <c r="AV3" s="535"/>
      <c r="AW3" s="535"/>
      <c r="AX3" s="535"/>
      <c r="AY3" s="536"/>
    </row>
    <row r="4" spans="1:53" ht="18" customHeight="1" x14ac:dyDescent="0.25">
      <c r="A4" s="526"/>
      <c r="B4" s="527"/>
      <c r="C4" s="531"/>
      <c r="D4" s="99"/>
      <c r="E4" s="554" t="s">
        <v>7</v>
      </c>
      <c r="F4" s="515" t="s">
        <v>5</v>
      </c>
      <c r="G4" s="515" t="s">
        <v>47</v>
      </c>
      <c r="H4" s="558" t="s">
        <v>48</v>
      </c>
      <c r="I4" s="515" t="s">
        <v>49</v>
      </c>
      <c r="J4" s="515" t="s">
        <v>50</v>
      </c>
      <c r="K4" s="552" t="s">
        <v>51</v>
      </c>
      <c r="L4" s="99"/>
      <c r="M4" s="554" t="s">
        <v>7</v>
      </c>
      <c r="N4" s="515" t="s">
        <v>5</v>
      </c>
      <c r="O4" s="515" t="s">
        <v>52</v>
      </c>
      <c r="P4" s="515" t="s">
        <v>53</v>
      </c>
      <c r="Q4" s="515" t="s">
        <v>54</v>
      </c>
      <c r="R4" s="515" t="s">
        <v>55</v>
      </c>
      <c r="S4" s="552" t="s">
        <v>56</v>
      </c>
      <c r="T4" s="99"/>
      <c r="U4" s="561" t="s">
        <v>5</v>
      </c>
      <c r="V4" s="515" t="s">
        <v>7</v>
      </c>
      <c r="W4" s="515" t="s">
        <v>52</v>
      </c>
      <c r="X4" s="515" t="s">
        <v>53</v>
      </c>
      <c r="Y4" s="515" t="s">
        <v>54</v>
      </c>
      <c r="Z4" s="515" t="s">
        <v>55</v>
      </c>
      <c r="AA4" s="552" t="s">
        <v>56</v>
      </c>
      <c r="AB4" s="99"/>
      <c r="AC4" s="554" t="s">
        <v>5</v>
      </c>
      <c r="AD4" s="515" t="s">
        <v>7</v>
      </c>
      <c r="AE4" s="515" t="s">
        <v>52</v>
      </c>
      <c r="AF4" s="515" t="s">
        <v>57</v>
      </c>
      <c r="AG4" s="515" t="s">
        <v>58</v>
      </c>
      <c r="AH4" s="515" t="s">
        <v>55</v>
      </c>
      <c r="AI4" s="548" t="s">
        <v>56</v>
      </c>
      <c r="AJ4" s="447"/>
      <c r="AK4" s="550" t="s">
        <v>5</v>
      </c>
      <c r="AL4" s="539" t="s">
        <v>7</v>
      </c>
      <c r="AM4" s="539" t="s">
        <v>59</v>
      </c>
      <c r="AN4" s="539" t="s">
        <v>57</v>
      </c>
      <c r="AO4" s="539" t="s">
        <v>58</v>
      </c>
      <c r="AP4" s="539" t="s">
        <v>55</v>
      </c>
      <c r="AQ4" s="545" t="s">
        <v>60</v>
      </c>
      <c r="AR4" s="447"/>
      <c r="AS4" s="537" t="s">
        <v>5</v>
      </c>
      <c r="AT4" s="539" t="s">
        <v>7</v>
      </c>
      <c r="AU4" s="539" t="s">
        <v>59</v>
      </c>
      <c r="AV4" s="539" t="s">
        <v>57</v>
      </c>
      <c r="AW4" s="539" t="s">
        <v>58</v>
      </c>
      <c r="AX4" s="539" t="s">
        <v>55</v>
      </c>
      <c r="AY4" s="541" t="s">
        <v>60</v>
      </c>
    </row>
    <row r="5" spans="1:53" ht="18" customHeight="1" x14ac:dyDescent="0.25">
      <c r="A5" s="526"/>
      <c r="B5" s="527"/>
      <c r="C5" s="531"/>
      <c r="D5" s="99"/>
      <c r="E5" s="555"/>
      <c r="F5" s="516"/>
      <c r="G5" s="516"/>
      <c r="H5" s="559"/>
      <c r="I5" s="516"/>
      <c r="J5" s="516"/>
      <c r="K5" s="552"/>
      <c r="L5" s="99"/>
      <c r="M5" s="555"/>
      <c r="N5" s="516"/>
      <c r="O5" s="516"/>
      <c r="P5" s="516"/>
      <c r="Q5" s="516"/>
      <c r="R5" s="516"/>
      <c r="S5" s="552"/>
      <c r="T5" s="99"/>
      <c r="U5" s="562"/>
      <c r="V5" s="516"/>
      <c r="W5" s="516"/>
      <c r="X5" s="516"/>
      <c r="Y5" s="516"/>
      <c r="Z5" s="516"/>
      <c r="AA5" s="552"/>
      <c r="AB5" s="99"/>
      <c r="AC5" s="555"/>
      <c r="AD5" s="516"/>
      <c r="AE5" s="516"/>
      <c r="AF5" s="516"/>
      <c r="AG5" s="516"/>
      <c r="AH5" s="516"/>
      <c r="AI5" s="548"/>
      <c r="AJ5" s="447"/>
      <c r="AK5" s="550"/>
      <c r="AL5" s="539"/>
      <c r="AM5" s="539"/>
      <c r="AN5" s="539"/>
      <c r="AO5" s="539"/>
      <c r="AP5" s="539"/>
      <c r="AQ5" s="545"/>
      <c r="AR5" s="447"/>
      <c r="AS5" s="537"/>
      <c r="AT5" s="539"/>
      <c r="AU5" s="539"/>
      <c r="AV5" s="539"/>
      <c r="AW5" s="539"/>
      <c r="AX5" s="539"/>
      <c r="AY5" s="541"/>
    </row>
    <row r="6" spans="1:53" ht="18" customHeight="1" thickBot="1" x14ac:dyDescent="0.3">
      <c r="A6" s="528"/>
      <c r="B6" s="529"/>
      <c r="C6" s="532"/>
      <c r="D6" s="99"/>
      <c r="E6" s="556"/>
      <c r="F6" s="517"/>
      <c r="G6" s="517"/>
      <c r="H6" s="560"/>
      <c r="I6" s="517"/>
      <c r="J6" s="517"/>
      <c r="K6" s="553"/>
      <c r="L6" s="99"/>
      <c r="M6" s="556"/>
      <c r="N6" s="517"/>
      <c r="O6" s="517"/>
      <c r="P6" s="517"/>
      <c r="Q6" s="517"/>
      <c r="R6" s="517"/>
      <c r="S6" s="553"/>
      <c r="T6" s="99"/>
      <c r="U6" s="563"/>
      <c r="V6" s="517"/>
      <c r="W6" s="517"/>
      <c r="X6" s="517"/>
      <c r="Y6" s="517"/>
      <c r="Z6" s="517"/>
      <c r="AA6" s="553"/>
      <c r="AB6" s="99"/>
      <c r="AC6" s="556"/>
      <c r="AD6" s="517"/>
      <c r="AE6" s="517"/>
      <c r="AF6" s="517"/>
      <c r="AG6" s="517"/>
      <c r="AH6" s="517"/>
      <c r="AI6" s="549"/>
      <c r="AJ6" s="447"/>
      <c r="AK6" s="551"/>
      <c r="AL6" s="540"/>
      <c r="AM6" s="540"/>
      <c r="AN6" s="540"/>
      <c r="AO6" s="540"/>
      <c r="AP6" s="540"/>
      <c r="AQ6" s="546"/>
      <c r="AR6" s="447"/>
      <c r="AS6" s="538"/>
      <c r="AT6" s="540"/>
      <c r="AU6" s="540"/>
      <c r="AV6" s="540"/>
      <c r="AW6" s="540"/>
      <c r="AX6" s="540"/>
      <c r="AY6" s="542"/>
    </row>
    <row r="7" spans="1:53" x14ac:dyDescent="0.25">
      <c r="A7" s="98" t="s">
        <v>64</v>
      </c>
      <c r="B7" s="99"/>
      <c r="C7" s="100"/>
      <c r="D7" s="99"/>
      <c r="E7" s="101"/>
      <c r="F7" s="102"/>
      <c r="G7" s="102"/>
      <c r="H7" s="103"/>
      <c r="I7" s="102"/>
      <c r="J7" s="102"/>
      <c r="K7" s="104"/>
      <c r="L7" s="99"/>
      <c r="M7" s="101"/>
      <c r="N7" s="102"/>
      <c r="O7" s="102"/>
      <c r="P7" s="102"/>
      <c r="Q7" s="102"/>
      <c r="R7" s="102"/>
      <c r="S7" s="104"/>
      <c r="T7" s="99"/>
      <c r="U7" s="105"/>
      <c r="V7" s="102"/>
      <c r="W7" s="102"/>
      <c r="X7" s="102"/>
      <c r="Y7" s="102"/>
      <c r="Z7" s="106"/>
      <c r="AA7" s="104"/>
      <c r="AB7" s="99"/>
      <c r="AC7" s="101"/>
      <c r="AD7" s="102"/>
      <c r="AE7" s="102"/>
      <c r="AF7" s="102"/>
      <c r="AG7" s="102"/>
      <c r="AH7" s="106"/>
      <c r="AI7" s="99"/>
      <c r="AJ7" s="447"/>
      <c r="AK7" s="99"/>
      <c r="AL7" s="102"/>
      <c r="AM7" s="102"/>
      <c r="AN7" s="102"/>
      <c r="AO7" s="102"/>
      <c r="AP7" s="106"/>
      <c r="AQ7" s="99"/>
      <c r="AR7" s="447"/>
      <c r="AS7" s="101"/>
      <c r="AT7" s="102"/>
      <c r="AU7" s="102"/>
      <c r="AV7" s="102"/>
      <c r="AW7" s="102"/>
      <c r="AX7" s="106"/>
      <c r="AY7" s="104"/>
      <c r="AZ7" s="107"/>
      <c r="BA7" s="107"/>
    </row>
    <row r="8" spans="1:53" x14ac:dyDescent="0.25">
      <c r="A8" s="101"/>
      <c r="B8" s="99" t="s">
        <v>65</v>
      </c>
      <c r="C8" s="100">
        <v>2</v>
      </c>
      <c r="D8" s="166"/>
      <c r="E8" s="108"/>
      <c r="F8" s="109"/>
      <c r="G8" s="109"/>
      <c r="H8" s="110"/>
      <c r="I8" s="109"/>
      <c r="J8" s="109"/>
      <c r="K8" s="111"/>
      <c r="L8" s="166"/>
      <c r="M8" s="108"/>
      <c r="N8" s="109"/>
      <c r="O8" s="109"/>
      <c r="P8" s="109"/>
      <c r="Q8" s="109"/>
      <c r="R8" s="109"/>
      <c r="S8" s="111"/>
      <c r="T8" s="166"/>
      <c r="U8" s="112">
        <v>511377</v>
      </c>
      <c r="V8" s="109">
        <v>511377</v>
      </c>
      <c r="W8" s="109">
        <v>0</v>
      </c>
      <c r="X8" s="109">
        <v>0</v>
      </c>
      <c r="Y8" s="109">
        <v>0</v>
      </c>
      <c r="Z8" s="109">
        <v>0</v>
      </c>
      <c r="AA8" s="111">
        <f>Z8/U8</f>
        <v>0</v>
      </c>
      <c r="AB8" s="166"/>
      <c r="AC8" s="108">
        <v>464481</v>
      </c>
      <c r="AD8" s="109">
        <v>464481</v>
      </c>
      <c r="AE8" s="109">
        <v>0</v>
      </c>
      <c r="AF8" s="109">
        <v>0</v>
      </c>
      <c r="AG8" s="109">
        <v>0</v>
      </c>
      <c r="AH8" s="109">
        <v>0</v>
      </c>
      <c r="AI8" s="435">
        <f>AH8/AC8</f>
        <v>0</v>
      </c>
      <c r="AJ8" s="448"/>
      <c r="AK8" s="423">
        <v>438179</v>
      </c>
      <c r="AL8" s="109">
        <f>AK8</f>
        <v>438179</v>
      </c>
      <c r="AM8" s="109">
        <v>0</v>
      </c>
      <c r="AN8" s="109">
        <f>Myr!$K$6</f>
        <v>0</v>
      </c>
      <c r="AO8" s="109">
        <f>Myr!$K$7</f>
        <v>0</v>
      </c>
      <c r="AP8" s="109">
        <v>0</v>
      </c>
      <c r="AQ8" s="435">
        <f>AP8/AK8</f>
        <v>0</v>
      </c>
      <c r="AR8" s="448"/>
      <c r="AS8" s="214">
        <f>+Myr!G5</f>
        <v>438316.02</v>
      </c>
      <c r="AT8" s="134">
        <f>+Myr!G6</f>
        <v>438316.02</v>
      </c>
      <c r="AU8" s="109">
        <f>+Myr!L5</f>
        <v>0</v>
      </c>
      <c r="AV8" s="109">
        <f>Myr!$L$6</f>
        <v>0</v>
      </c>
      <c r="AW8" s="109">
        <f>Myr!$L$7</f>
        <v>0</v>
      </c>
      <c r="AX8" s="109">
        <f>Myr!$L$8</f>
        <v>0</v>
      </c>
      <c r="AY8" s="111">
        <f>AW8/AS8</f>
        <v>0</v>
      </c>
    </row>
    <row r="9" spans="1:53" x14ac:dyDescent="0.25">
      <c r="A9" s="101"/>
      <c r="B9" s="115" t="s">
        <v>67</v>
      </c>
      <c r="C9" s="100">
        <v>3</v>
      </c>
      <c r="D9" s="166"/>
      <c r="E9" s="108">
        <v>0</v>
      </c>
      <c r="F9" s="109"/>
      <c r="G9" s="109"/>
      <c r="H9" s="110"/>
      <c r="I9" s="109">
        <v>0</v>
      </c>
      <c r="J9" s="109">
        <v>0</v>
      </c>
      <c r="K9" s="111">
        <v>0</v>
      </c>
      <c r="L9" s="166"/>
      <c r="M9" s="108">
        <v>0</v>
      </c>
      <c r="N9" s="109">
        <v>0</v>
      </c>
      <c r="O9" s="109">
        <v>0</v>
      </c>
      <c r="P9" s="109">
        <v>0</v>
      </c>
      <c r="Q9" s="109">
        <v>0</v>
      </c>
      <c r="R9" s="109">
        <v>0</v>
      </c>
      <c r="S9" s="111">
        <v>0</v>
      </c>
      <c r="T9" s="166"/>
      <c r="U9" s="112">
        <v>530594</v>
      </c>
      <c r="V9" s="109">
        <v>530594</v>
      </c>
      <c r="W9" s="109">
        <v>0</v>
      </c>
      <c r="X9" s="109">
        <v>0</v>
      </c>
      <c r="Y9" s="109">
        <v>0</v>
      </c>
      <c r="Z9" s="24">
        <v>-26350.040000000037</v>
      </c>
      <c r="AA9" s="111">
        <f>Z9/U9</f>
        <v>-4.9661398357312821E-2</v>
      </c>
      <c r="AB9" s="166"/>
      <c r="AC9" s="108">
        <v>798453</v>
      </c>
      <c r="AD9" s="109">
        <v>798453</v>
      </c>
      <c r="AE9" s="109">
        <v>0</v>
      </c>
      <c r="AF9" s="109">
        <v>0</v>
      </c>
      <c r="AG9" s="109">
        <v>0</v>
      </c>
      <c r="AH9" s="109">
        <v>10423</v>
      </c>
      <c r="AI9" s="435">
        <f>AH9/AC9</f>
        <v>1.3053993159271741E-2</v>
      </c>
      <c r="AJ9" s="448"/>
      <c r="AK9" s="423">
        <v>741281</v>
      </c>
      <c r="AL9" s="109">
        <f>AK9</f>
        <v>741281</v>
      </c>
      <c r="AM9" s="109">
        <v>0</v>
      </c>
      <c r="AN9" s="109">
        <f>CAS!$K$6</f>
        <v>0</v>
      </c>
      <c r="AO9" s="109">
        <f>CAS!$K$7</f>
        <v>0</v>
      </c>
      <c r="AP9" s="109">
        <v>2472</v>
      </c>
      <c r="AQ9" s="435">
        <f>AP9/AK9</f>
        <v>3.334767787114468E-3</v>
      </c>
      <c r="AR9" s="448"/>
      <c r="AS9" s="214">
        <f>+CAS!G5</f>
        <v>721424</v>
      </c>
      <c r="AT9" s="134">
        <f>+CAS!G6</f>
        <v>721424</v>
      </c>
      <c r="AU9" s="109">
        <f>+CAS!$L$5</f>
        <v>0</v>
      </c>
      <c r="AV9" s="109">
        <f>CAS!$L$6</f>
        <v>0</v>
      </c>
      <c r="AW9" s="109">
        <f>CAS!$L$7</f>
        <v>0</v>
      </c>
      <c r="AX9" s="109">
        <f>CAS!$L$8</f>
        <v>0</v>
      </c>
      <c r="AY9" s="111">
        <f>AW9/AS9</f>
        <v>0</v>
      </c>
    </row>
    <row r="10" spans="1:53" s="125" customFormat="1" x14ac:dyDescent="0.25">
      <c r="A10" s="116" t="s">
        <v>68</v>
      </c>
      <c r="B10" s="117"/>
      <c r="C10" s="118"/>
      <c r="D10" s="432"/>
      <c r="E10" s="119">
        <f t="shared" ref="E10:K10" si="0">SUM(E9)</f>
        <v>0</v>
      </c>
      <c r="F10" s="120">
        <f t="shared" si="0"/>
        <v>0</v>
      </c>
      <c r="G10" s="120">
        <f t="shared" si="0"/>
        <v>0</v>
      </c>
      <c r="H10" s="121">
        <f t="shared" si="0"/>
        <v>0</v>
      </c>
      <c r="I10" s="120">
        <f t="shared" si="0"/>
        <v>0</v>
      </c>
      <c r="J10" s="120">
        <f t="shared" si="0"/>
        <v>0</v>
      </c>
      <c r="K10" s="122">
        <f t="shared" si="0"/>
        <v>0</v>
      </c>
      <c r="L10" s="355"/>
      <c r="M10" s="119">
        <f>SUM(M9)</f>
        <v>0</v>
      </c>
      <c r="N10" s="120">
        <f>SUM(N9)</f>
        <v>0</v>
      </c>
      <c r="O10" s="120">
        <v>0</v>
      </c>
      <c r="P10" s="120">
        <v>0</v>
      </c>
      <c r="Q10" s="120">
        <v>0</v>
      </c>
      <c r="R10" s="120">
        <v>0</v>
      </c>
      <c r="S10" s="122">
        <f>SUM(S9)</f>
        <v>0</v>
      </c>
      <c r="T10" s="355"/>
      <c r="U10" s="124">
        <f t="shared" ref="U10:Z10" si="1">SUM(U9)</f>
        <v>530594</v>
      </c>
      <c r="V10" s="120">
        <f>SUM(V9)</f>
        <v>530594</v>
      </c>
      <c r="W10" s="120">
        <f t="shared" si="1"/>
        <v>0</v>
      </c>
      <c r="X10" s="120">
        <f t="shared" si="1"/>
        <v>0</v>
      </c>
      <c r="Y10" s="120">
        <f t="shared" si="1"/>
        <v>0</v>
      </c>
      <c r="Z10" s="120">
        <f t="shared" si="1"/>
        <v>-26350.040000000037</v>
      </c>
      <c r="AA10" s="122">
        <f>Z10/U10</f>
        <v>-4.9661398357312821E-2</v>
      </c>
      <c r="AB10" s="355"/>
      <c r="AC10" s="119">
        <v>1262934</v>
      </c>
      <c r="AD10" s="120">
        <v>1262934</v>
      </c>
      <c r="AE10" s="120">
        <v>0</v>
      </c>
      <c r="AF10" s="120">
        <v>0</v>
      </c>
      <c r="AG10" s="120">
        <v>0</v>
      </c>
      <c r="AH10" s="120">
        <v>10423</v>
      </c>
      <c r="AI10" s="354">
        <f t="shared" ref="AI10:AI73" si="2">AH10/AC10</f>
        <v>8.2530045117163685E-3</v>
      </c>
      <c r="AJ10" s="449"/>
      <c r="AK10" s="154">
        <f t="shared" ref="AK10:AL10" si="3">SUM(AK8:AK9)</f>
        <v>1179460</v>
      </c>
      <c r="AL10" s="120">
        <f t="shared" si="3"/>
        <v>1179460</v>
      </c>
      <c r="AM10" s="120">
        <f>SUM(AM8:AM9)</f>
        <v>0</v>
      </c>
      <c r="AN10" s="120">
        <f>SUM(AN8:AN9)</f>
        <v>0</v>
      </c>
      <c r="AO10" s="120">
        <f>SUM(AO8:AO9)</f>
        <v>0</v>
      </c>
      <c r="AP10" s="120">
        <v>2472</v>
      </c>
      <c r="AQ10" s="354">
        <f>AP10/AK10</f>
        <v>2.0958743831923084E-3</v>
      </c>
      <c r="AR10" s="449"/>
      <c r="AS10" s="215">
        <f t="shared" ref="AS10:AT10" si="4">SUM(AS8:AS9)</f>
        <v>1159740.02</v>
      </c>
      <c r="AT10" s="133">
        <f t="shared" si="4"/>
        <v>1159740.02</v>
      </c>
      <c r="AU10" s="120">
        <f>SUM(AU8:AU9)</f>
        <v>0</v>
      </c>
      <c r="AV10" s="120">
        <f>SUM(AV8:AV9)</f>
        <v>0</v>
      </c>
      <c r="AW10" s="120">
        <f>SUM(AW8:AW9)</f>
        <v>0</v>
      </c>
      <c r="AX10" s="120">
        <f>SUM(AX8:AX9)</f>
        <v>0</v>
      </c>
      <c r="AY10" s="122">
        <f>AW10/AS10</f>
        <v>0</v>
      </c>
      <c r="AZ10" s="97"/>
      <c r="BA10" s="97"/>
    </row>
    <row r="11" spans="1:53" ht="5.25" customHeight="1" x14ac:dyDescent="0.25">
      <c r="A11" s="101"/>
      <c r="B11" s="115"/>
      <c r="C11" s="100"/>
      <c r="D11" s="166"/>
      <c r="E11" s="108"/>
      <c r="F11" s="109"/>
      <c r="G11" s="109"/>
      <c r="H11" s="110"/>
      <c r="I11" s="109"/>
      <c r="J11" s="109"/>
      <c r="K11" s="127"/>
      <c r="L11" s="166"/>
      <c r="M11" s="108"/>
      <c r="N11" s="109"/>
      <c r="O11" s="109"/>
      <c r="P11" s="109"/>
      <c r="Q11" s="109"/>
      <c r="R11" s="109"/>
      <c r="S11" s="127"/>
      <c r="T11" s="166"/>
      <c r="U11" s="112"/>
      <c r="V11" s="109"/>
      <c r="W11" s="109"/>
      <c r="X11" s="109"/>
      <c r="Y11" s="109"/>
      <c r="Z11" s="109"/>
      <c r="AA11" s="127"/>
      <c r="AB11" s="166"/>
      <c r="AC11" s="108"/>
      <c r="AD11" s="109"/>
      <c r="AE11" s="109"/>
      <c r="AF11" s="109"/>
      <c r="AG11" s="109"/>
      <c r="AH11" s="109"/>
      <c r="AI11" s="436"/>
      <c r="AJ11" s="448"/>
      <c r="AK11" s="423"/>
      <c r="AL11" s="109"/>
      <c r="AM11" s="109"/>
      <c r="AN11" s="109"/>
      <c r="AO11" s="109"/>
      <c r="AP11" s="109"/>
      <c r="AQ11" s="436"/>
      <c r="AR11" s="448"/>
      <c r="AS11" s="214"/>
      <c r="AT11" s="134"/>
      <c r="AU11" s="109"/>
      <c r="AV11" s="109"/>
      <c r="AW11" s="109"/>
      <c r="AX11" s="109"/>
      <c r="AY11" s="127"/>
    </row>
    <row r="12" spans="1:53" x14ac:dyDescent="0.25">
      <c r="A12" s="98" t="s">
        <v>69</v>
      </c>
      <c r="B12" s="115"/>
      <c r="C12" s="100"/>
      <c r="D12" s="99"/>
      <c r="E12" s="101"/>
      <c r="F12" s="102"/>
      <c r="G12" s="102"/>
      <c r="H12" s="103"/>
      <c r="I12" s="102"/>
      <c r="J12" s="102"/>
      <c r="K12" s="104"/>
      <c r="L12" s="99"/>
      <c r="M12" s="101"/>
      <c r="N12" s="102"/>
      <c r="O12" s="102"/>
      <c r="P12" s="102"/>
      <c r="Q12" s="102"/>
      <c r="R12" s="102"/>
      <c r="S12" s="104"/>
      <c r="T12" s="99"/>
      <c r="U12" s="105"/>
      <c r="V12" s="102"/>
      <c r="W12" s="102"/>
      <c r="X12" s="102"/>
      <c r="Y12" s="102"/>
      <c r="Z12" s="102"/>
      <c r="AA12" s="104"/>
      <c r="AB12" s="99"/>
      <c r="AC12" s="101"/>
      <c r="AD12" s="102"/>
      <c r="AE12" s="102"/>
      <c r="AF12" s="102"/>
      <c r="AG12" s="102"/>
      <c r="AH12" s="102"/>
      <c r="AI12" s="99"/>
      <c r="AJ12" s="447"/>
      <c r="AK12" s="99"/>
      <c r="AL12" s="102"/>
      <c r="AM12" s="102"/>
      <c r="AN12" s="102"/>
      <c r="AO12" s="102"/>
      <c r="AP12" s="102"/>
      <c r="AQ12" s="99"/>
      <c r="AR12" s="447"/>
      <c r="AS12" s="216"/>
      <c r="AT12" s="217"/>
      <c r="AU12" s="102"/>
      <c r="AV12" s="102"/>
      <c r="AW12" s="102"/>
      <c r="AX12" s="102"/>
      <c r="AY12" s="104"/>
    </row>
    <row r="13" spans="1:53" x14ac:dyDescent="0.25">
      <c r="A13" s="101"/>
      <c r="B13" s="115" t="s">
        <v>70</v>
      </c>
      <c r="C13" s="100">
        <v>4</v>
      </c>
      <c r="D13" s="166"/>
      <c r="E13" s="108">
        <v>1865666</v>
      </c>
      <c r="F13" s="109">
        <f>5691352+350000</f>
        <v>6041352</v>
      </c>
      <c r="G13" s="109"/>
      <c r="H13" s="110">
        <v>0</v>
      </c>
      <c r="I13" s="109">
        <v>0</v>
      </c>
      <c r="J13" s="109">
        <v>219889</v>
      </c>
      <c r="K13" s="111">
        <f>J13/F13</f>
        <v>3.6397316362297712E-2</v>
      </c>
      <c r="L13" s="166"/>
      <c r="M13" s="108">
        <v>3751439</v>
      </c>
      <c r="N13" s="109">
        <v>4987516</v>
      </c>
      <c r="O13" s="109"/>
      <c r="P13" s="109"/>
      <c r="Q13" s="109">
        <v>1028768</v>
      </c>
      <c r="R13" s="109">
        <v>705512</v>
      </c>
      <c r="S13" s="111">
        <v>0.14099999999999999</v>
      </c>
      <c r="T13" s="166"/>
      <c r="U13" s="112">
        <v>1493194</v>
      </c>
      <c r="V13" s="109">
        <v>1493194</v>
      </c>
      <c r="W13" s="109">
        <v>0</v>
      </c>
      <c r="X13" s="109">
        <v>0</v>
      </c>
      <c r="Y13" s="109">
        <v>0</v>
      </c>
      <c r="Z13" s="109">
        <v>456074</v>
      </c>
      <c r="AA13" s="111">
        <f>Z13/U13</f>
        <v>0.30543519462306973</v>
      </c>
      <c r="AB13" s="166"/>
      <c r="AC13" s="108">
        <v>1577999</v>
      </c>
      <c r="AD13" s="109">
        <v>1577999</v>
      </c>
      <c r="AE13" s="109">
        <v>0</v>
      </c>
      <c r="AF13" s="109">
        <v>113000</v>
      </c>
      <c r="AG13" s="109">
        <v>139000</v>
      </c>
      <c r="AH13" s="109">
        <v>222610</v>
      </c>
      <c r="AI13" s="435">
        <f t="shared" si="2"/>
        <v>0.14107106531753189</v>
      </c>
      <c r="AJ13" s="448"/>
      <c r="AK13" s="423">
        <v>1354061</v>
      </c>
      <c r="AL13" s="109">
        <f>AK13</f>
        <v>1354061</v>
      </c>
      <c r="AM13" s="109">
        <v>0</v>
      </c>
      <c r="AN13" s="109">
        <f>CAO!$K$6</f>
        <v>0</v>
      </c>
      <c r="AO13" s="109">
        <f>CAO!$K$7</f>
        <v>0</v>
      </c>
      <c r="AP13" s="109">
        <v>246883</v>
      </c>
      <c r="AQ13" s="435">
        <f>AP13/AK13</f>
        <v>0.18232782718060708</v>
      </c>
      <c r="AR13" s="448"/>
      <c r="AS13" s="214">
        <f>+CAO!G5</f>
        <v>1278215</v>
      </c>
      <c r="AT13" s="134">
        <f>+CAO!G6</f>
        <v>1278215</v>
      </c>
      <c r="AU13" s="109">
        <f>+CAO!L5</f>
        <v>0</v>
      </c>
      <c r="AV13" s="109">
        <f>CAO!$L$6</f>
        <v>0</v>
      </c>
      <c r="AW13" s="109">
        <f>CAO!$L$7</f>
        <v>113000</v>
      </c>
      <c r="AX13" s="109">
        <f>CAO!$L$8</f>
        <v>0</v>
      </c>
      <c r="AY13" s="111">
        <f t="shared" ref="AY13:AY17" si="5">AW13/AS13</f>
        <v>8.8404532883748041E-2</v>
      </c>
    </row>
    <row r="14" spans="1:53" x14ac:dyDescent="0.25">
      <c r="A14" s="101"/>
      <c r="B14" s="115" t="s">
        <v>246</v>
      </c>
      <c r="C14" s="100">
        <v>5</v>
      </c>
      <c r="D14" s="166"/>
      <c r="E14" s="108">
        <v>4748105</v>
      </c>
      <c r="F14" s="109">
        <v>12325926</v>
      </c>
      <c r="G14" s="109"/>
      <c r="H14" s="110">
        <v>-550000</v>
      </c>
      <c r="I14" s="109">
        <v>-395000</v>
      </c>
      <c r="J14" s="109">
        <v>-445958</v>
      </c>
      <c r="K14" s="111">
        <f>J14/F14</f>
        <v>-3.6180486561415343E-2</v>
      </c>
      <c r="L14" s="166"/>
      <c r="M14" s="108">
        <v>3128679</v>
      </c>
      <c r="N14" s="109">
        <v>6992276</v>
      </c>
      <c r="O14" s="109"/>
      <c r="P14" s="109">
        <v>0</v>
      </c>
      <c r="Q14" s="109">
        <v>-320000</v>
      </c>
      <c r="R14" s="109">
        <v>-716069</v>
      </c>
      <c r="S14" s="111">
        <v>-0.10199999999999999</v>
      </c>
      <c r="T14" s="166"/>
      <c r="U14" s="112">
        <f>3385305</f>
        <v>3385305</v>
      </c>
      <c r="V14" s="109">
        <f>2107652</f>
        <v>2107652</v>
      </c>
      <c r="W14" s="109">
        <v>-350000</v>
      </c>
      <c r="X14" s="109">
        <v>-645000</v>
      </c>
      <c r="Y14" s="109">
        <v>-623000</v>
      </c>
      <c r="Z14" s="109">
        <v>-796769</v>
      </c>
      <c r="AA14" s="111">
        <f>Z14/U14</f>
        <v>-0.23536106790968614</v>
      </c>
      <c r="AB14" s="166"/>
      <c r="AC14" s="108">
        <v>10460211</v>
      </c>
      <c r="AD14" s="109">
        <v>7165836</v>
      </c>
      <c r="AE14" s="109">
        <v>0</v>
      </c>
      <c r="AF14" s="109">
        <v>-300000</v>
      </c>
      <c r="AG14" s="109">
        <v>-619000</v>
      </c>
      <c r="AH14" s="134">
        <v>-479405</v>
      </c>
      <c r="AI14" s="435">
        <f>AH14/AC14</f>
        <v>-4.5831293460523885E-2</v>
      </c>
      <c r="AJ14" s="448"/>
      <c r="AK14" s="423">
        <v>10470778</v>
      </c>
      <c r="AL14" s="109">
        <f>AK14-3638123</f>
        <v>6832655</v>
      </c>
      <c r="AM14" s="109">
        <v>0</v>
      </c>
      <c r="AN14" s="109">
        <f>Legal!$K$6</f>
        <v>0</v>
      </c>
      <c r="AO14" s="109">
        <f>Legal!$K$7</f>
        <v>0</v>
      </c>
      <c r="AP14" s="109">
        <v>20708</v>
      </c>
      <c r="AQ14" s="435">
        <f>AP14/AK14</f>
        <v>1.9776944941436061E-3</v>
      </c>
      <c r="AR14" s="448"/>
      <c r="AS14" s="214">
        <f>+Legal!G5</f>
        <v>16491109.390000001</v>
      </c>
      <c r="AT14" s="134">
        <f>+Legal!G6</f>
        <v>5329141.3900000006</v>
      </c>
      <c r="AU14" s="109">
        <f>+Legal!L5</f>
        <v>-919000</v>
      </c>
      <c r="AV14" s="109">
        <f>Legal!$L$6</f>
        <v>-946000</v>
      </c>
      <c r="AW14" s="109">
        <f>Legal!$L$7</f>
        <v>-1243000</v>
      </c>
      <c r="AX14" s="109">
        <f>Legal!$L$8</f>
        <v>0</v>
      </c>
      <c r="AY14" s="111">
        <f t="shared" si="5"/>
        <v>-7.5373946688737592E-2</v>
      </c>
    </row>
    <row r="15" spans="1:53" s="131" customFormat="1" hidden="1" outlineLevel="1" x14ac:dyDescent="0.25">
      <c r="A15" s="223"/>
      <c r="B15" s="224" t="s">
        <v>94</v>
      </c>
      <c r="C15" s="225">
        <v>12</v>
      </c>
      <c r="D15" s="433"/>
      <c r="E15" s="227"/>
      <c r="F15" s="228"/>
      <c r="G15" s="228"/>
      <c r="H15" s="229"/>
      <c r="I15" s="228"/>
      <c r="J15" s="228"/>
      <c r="K15" s="230"/>
      <c r="L15" s="433"/>
      <c r="M15" s="227"/>
      <c r="N15" s="228"/>
      <c r="O15" s="228"/>
      <c r="P15" s="228"/>
      <c r="Q15" s="228"/>
      <c r="R15" s="228"/>
      <c r="S15" s="230"/>
      <c r="T15" s="433"/>
      <c r="U15" s="231">
        <v>4433178</v>
      </c>
      <c r="V15" s="228">
        <v>2452366</v>
      </c>
      <c r="W15" s="228"/>
      <c r="X15" s="228"/>
      <c r="Y15" s="228"/>
      <c r="Z15" s="228"/>
      <c r="AA15" s="230"/>
      <c r="AB15" s="433"/>
      <c r="AC15" s="227"/>
      <c r="AD15" s="228"/>
      <c r="AE15" s="228">
        <v>0</v>
      </c>
      <c r="AF15" s="228">
        <v>0</v>
      </c>
      <c r="AG15" s="228">
        <v>0</v>
      </c>
      <c r="AH15" s="228">
        <v>0</v>
      </c>
      <c r="AI15" s="420" t="e">
        <f>AH15/AC15</f>
        <v>#DIV/0!</v>
      </c>
      <c r="AJ15" s="450"/>
      <c r="AK15" s="424"/>
      <c r="AL15" s="228"/>
      <c r="AM15" s="228">
        <v>0</v>
      </c>
      <c r="AN15" s="228">
        <f>Myr!$K$6</f>
        <v>0</v>
      </c>
      <c r="AO15" s="228">
        <f>Myr!$K$7</f>
        <v>0</v>
      </c>
      <c r="AP15" s="228">
        <v>0</v>
      </c>
      <c r="AQ15" s="420"/>
      <c r="AR15" s="450"/>
      <c r="AS15" s="227"/>
      <c r="AT15" s="228"/>
      <c r="AU15" s="228"/>
      <c r="AV15" s="228">
        <f>Myr!$L$6</f>
        <v>0</v>
      </c>
      <c r="AW15" s="228">
        <f>Myr!$L$7</f>
        <v>0</v>
      </c>
      <c r="AX15" s="228">
        <f>Myr!$L$8</f>
        <v>0</v>
      </c>
      <c r="AY15" s="230" t="e">
        <f t="shared" si="5"/>
        <v>#DIV/0!</v>
      </c>
      <c r="AZ15" s="130"/>
      <c r="BA15" s="130"/>
    </row>
    <row r="16" spans="1:53" collapsed="1" x14ac:dyDescent="0.25">
      <c r="A16" s="101"/>
      <c r="B16" s="115" t="s">
        <v>97</v>
      </c>
      <c r="C16" s="514">
        <v>7</v>
      </c>
      <c r="D16" s="166"/>
      <c r="E16" s="108">
        <v>33681149</v>
      </c>
      <c r="F16" s="109">
        <v>31878712</v>
      </c>
      <c r="G16" s="109"/>
      <c r="H16" s="110">
        <v>-127000</v>
      </c>
      <c r="I16" s="109">
        <v>0</v>
      </c>
      <c r="J16" s="109">
        <v>-177851</v>
      </c>
      <c r="K16" s="111">
        <f>J16/F16</f>
        <v>-5.5789895150092639E-3</v>
      </c>
      <c r="L16" s="166"/>
      <c r="M16" s="108">
        <v>30983012</v>
      </c>
      <c r="N16" s="109">
        <v>21985307</v>
      </c>
      <c r="O16" s="109"/>
      <c r="P16" s="109">
        <v>0</v>
      </c>
      <c r="Q16" s="109">
        <v>511000</v>
      </c>
      <c r="R16" s="109">
        <v>423609</v>
      </c>
      <c r="S16" s="111">
        <v>1.2999999999999999E-2</v>
      </c>
      <c r="T16" s="166"/>
      <c r="U16" s="112">
        <v>34510102</v>
      </c>
      <c r="V16" s="109">
        <v>33746782</v>
      </c>
      <c r="W16" s="109">
        <v>115000</v>
      </c>
      <c r="X16" s="109">
        <v>192500</v>
      </c>
      <c r="Y16" s="109">
        <v>93000</v>
      </c>
      <c r="Z16" s="109">
        <v>174686</v>
      </c>
      <c r="AA16" s="111">
        <f>Z16/U16</f>
        <v>5.0618801416466401E-3</v>
      </c>
      <c r="AB16" s="166"/>
      <c r="AC16" s="108">
        <v>34465658</v>
      </c>
      <c r="AD16" s="109">
        <v>33813373</v>
      </c>
      <c r="AE16" s="109">
        <v>0</v>
      </c>
      <c r="AF16" s="109">
        <v>10000</v>
      </c>
      <c r="AG16" s="109">
        <v>134000</v>
      </c>
      <c r="AH16" s="134">
        <v>114938</v>
      </c>
      <c r="AI16" s="435">
        <f>AH16/AC16</f>
        <v>3.334855815026076E-3</v>
      </c>
      <c r="AJ16" s="448"/>
      <c r="AK16" s="423">
        <v>35775103</v>
      </c>
      <c r="AL16" s="109">
        <f>AK16-641285</f>
        <v>35133818</v>
      </c>
      <c r="AM16" s="109">
        <v>0</v>
      </c>
      <c r="AN16" s="109">
        <f>FRS!$K$6</f>
        <v>60000</v>
      </c>
      <c r="AO16" s="109">
        <f>FRS!$K$7</f>
        <v>-45000</v>
      </c>
      <c r="AP16" s="109">
        <v>-144584</v>
      </c>
      <c r="AQ16" s="435">
        <f>AP16/AK16</f>
        <v>-4.0414698456633378E-3</v>
      </c>
      <c r="AR16" s="448"/>
      <c r="AS16" s="214">
        <f>+FRS!G5</f>
        <v>40204700</v>
      </c>
      <c r="AT16" s="134">
        <f>+FRS!G6</f>
        <v>39412820</v>
      </c>
      <c r="AU16" s="109">
        <f>+FRS!L5</f>
        <v>200000</v>
      </c>
      <c r="AV16" s="109">
        <f>FRS!$L$6</f>
        <v>0</v>
      </c>
      <c r="AW16" s="109">
        <f>FRS!$L$7</f>
        <v>-440000</v>
      </c>
      <c r="AX16" s="109">
        <f>FRS!$L$8</f>
        <v>0</v>
      </c>
      <c r="AY16" s="111">
        <f t="shared" si="5"/>
        <v>-1.0943994110141351E-2</v>
      </c>
    </row>
    <row r="17" spans="1:53" s="125" customFormat="1" x14ac:dyDescent="0.25">
      <c r="A17" s="116" t="s">
        <v>72</v>
      </c>
      <c r="B17" s="117"/>
      <c r="C17" s="118"/>
      <c r="D17" s="166"/>
      <c r="E17" s="119">
        <f t="shared" ref="E17:J17" si="6">SUM(E13:E13)</f>
        <v>1865666</v>
      </c>
      <c r="F17" s="120">
        <f t="shared" si="6"/>
        <v>6041352</v>
      </c>
      <c r="G17" s="120">
        <f t="shared" si="6"/>
        <v>0</v>
      </c>
      <c r="H17" s="121">
        <f t="shared" si="6"/>
        <v>0</v>
      </c>
      <c r="I17" s="120">
        <f t="shared" si="6"/>
        <v>0</v>
      </c>
      <c r="J17" s="120">
        <f t="shared" si="6"/>
        <v>219889</v>
      </c>
      <c r="K17" s="122">
        <v>0.17</v>
      </c>
      <c r="L17" s="355"/>
      <c r="M17" s="119">
        <f>SUM(M13:M13)</f>
        <v>3751439</v>
      </c>
      <c r="N17" s="120">
        <f>SUM(N13:N13)</f>
        <v>4987516</v>
      </c>
      <c r="O17" s="120">
        <v>0</v>
      </c>
      <c r="P17" s="120">
        <v>0</v>
      </c>
      <c r="Q17" s="120">
        <v>1028768</v>
      </c>
      <c r="R17" s="120">
        <v>705512</v>
      </c>
      <c r="S17" s="122">
        <f>R17/N17</f>
        <v>0.14145558630789354</v>
      </c>
      <c r="T17" s="355"/>
      <c r="U17" s="124">
        <f t="shared" ref="U17:Z17" si="7">SUM(U13:U13)</f>
        <v>1493194</v>
      </c>
      <c r="V17" s="120">
        <f>SUM(V13:V13)</f>
        <v>1493194</v>
      </c>
      <c r="W17" s="120">
        <f t="shared" si="7"/>
        <v>0</v>
      </c>
      <c r="X17" s="120">
        <f t="shared" si="7"/>
        <v>0</v>
      </c>
      <c r="Y17" s="120">
        <f t="shared" si="7"/>
        <v>0</v>
      </c>
      <c r="Z17" s="120">
        <f t="shared" si="7"/>
        <v>456074</v>
      </c>
      <c r="AA17" s="122">
        <f>Z17/U17</f>
        <v>0.30543519462306973</v>
      </c>
      <c r="AB17" s="355"/>
      <c r="AC17" s="119">
        <v>1577999</v>
      </c>
      <c r="AD17" s="120">
        <v>1577999</v>
      </c>
      <c r="AE17" s="120">
        <v>0</v>
      </c>
      <c r="AF17" s="120">
        <v>113000</v>
      </c>
      <c r="AG17" s="120">
        <v>0</v>
      </c>
      <c r="AH17" s="133">
        <v>222610</v>
      </c>
      <c r="AI17" s="354">
        <f t="shared" si="2"/>
        <v>0.14107106531753189</v>
      </c>
      <c r="AJ17" s="449"/>
      <c r="AK17" s="154">
        <f>SUM(AK13:AK16)</f>
        <v>47599942</v>
      </c>
      <c r="AL17" s="120">
        <f>SUM(AL13:AL16)</f>
        <v>43320534</v>
      </c>
      <c r="AM17" s="120">
        <f t="shared" ref="AM17:AO17" si="8">SUM(AM13:AM16)</f>
        <v>0</v>
      </c>
      <c r="AN17" s="133">
        <f t="shared" si="8"/>
        <v>60000</v>
      </c>
      <c r="AO17" s="133">
        <f t="shared" si="8"/>
        <v>-45000</v>
      </c>
      <c r="AP17" s="133">
        <v>246883</v>
      </c>
      <c r="AQ17" s="354">
        <f>AP17/AK17</f>
        <v>5.1866239668947496E-3</v>
      </c>
      <c r="AR17" s="449"/>
      <c r="AS17" s="215">
        <f>SUM(AS13:AS16)</f>
        <v>57974024.390000001</v>
      </c>
      <c r="AT17" s="133">
        <f t="shared" ref="AT17:AV17" si="9">SUM(AT13:AT16)</f>
        <v>46020176.390000001</v>
      </c>
      <c r="AU17" s="120">
        <f t="shared" si="9"/>
        <v>-719000</v>
      </c>
      <c r="AV17" s="133">
        <f t="shared" si="9"/>
        <v>-946000</v>
      </c>
      <c r="AW17" s="133">
        <f>SUM(AW13:AW16)</f>
        <v>-1570000</v>
      </c>
      <c r="AX17" s="133">
        <f>SUM(AX13:AX16)</f>
        <v>0</v>
      </c>
      <c r="AY17" s="122">
        <f t="shared" si="5"/>
        <v>-2.7081093929901663E-2</v>
      </c>
      <c r="AZ17" s="97"/>
      <c r="BA17" s="97"/>
    </row>
    <row r="18" spans="1:53" ht="6.75" customHeight="1" x14ac:dyDescent="0.25">
      <c r="A18" s="101"/>
      <c r="B18" s="115"/>
      <c r="C18" s="100"/>
      <c r="D18" s="166"/>
      <c r="E18" s="108"/>
      <c r="F18" s="109"/>
      <c r="G18" s="109"/>
      <c r="H18" s="110"/>
      <c r="I18" s="109"/>
      <c r="J18" s="109"/>
      <c r="K18" s="127"/>
      <c r="L18" s="166"/>
      <c r="M18" s="108"/>
      <c r="N18" s="109"/>
      <c r="O18" s="109"/>
      <c r="P18" s="109"/>
      <c r="Q18" s="109"/>
      <c r="R18" s="109"/>
      <c r="S18" s="127"/>
      <c r="T18" s="166"/>
      <c r="U18" s="112"/>
      <c r="V18" s="109"/>
      <c r="W18" s="109"/>
      <c r="X18" s="109"/>
      <c r="Y18" s="109"/>
      <c r="Z18" s="109"/>
      <c r="AA18" s="127"/>
      <c r="AB18" s="166"/>
      <c r="AC18" s="108"/>
      <c r="AD18" s="109"/>
      <c r="AE18" s="109"/>
      <c r="AF18" s="109"/>
      <c r="AG18" s="109"/>
      <c r="AH18" s="109"/>
      <c r="AI18" s="436"/>
      <c r="AJ18" s="448"/>
      <c r="AK18" s="423"/>
      <c r="AL18" s="109"/>
      <c r="AM18" s="109"/>
      <c r="AN18" s="109"/>
      <c r="AO18" s="109"/>
      <c r="AP18" s="109"/>
      <c r="AQ18" s="436"/>
      <c r="AR18" s="448"/>
      <c r="AS18" s="214"/>
      <c r="AT18" s="134"/>
      <c r="AU18" s="109"/>
      <c r="AV18" s="109"/>
      <c r="AW18" s="109"/>
      <c r="AX18" s="109"/>
      <c r="AY18" s="127"/>
    </row>
    <row r="19" spans="1:53" x14ac:dyDescent="0.25">
      <c r="A19" s="98" t="s">
        <v>73</v>
      </c>
      <c r="B19" s="115"/>
      <c r="C19" s="100"/>
      <c r="D19" s="166"/>
      <c r="E19" s="108"/>
      <c r="F19" s="109"/>
      <c r="G19" s="109"/>
      <c r="H19" s="110"/>
      <c r="I19" s="109"/>
      <c r="J19" s="109"/>
      <c r="K19" s="127"/>
      <c r="L19" s="166"/>
      <c r="M19" s="108"/>
      <c r="N19" s="109"/>
      <c r="O19" s="109"/>
      <c r="P19" s="109"/>
      <c r="Q19" s="109"/>
      <c r="R19" s="109"/>
      <c r="S19" s="127"/>
      <c r="T19" s="166"/>
      <c r="U19" s="112"/>
      <c r="V19" s="109"/>
      <c r="W19" s="109"/>
      <c r="X19" s="109"/>
      <c r="Y19" s="109"/>
      <c r="Z19" s="109"/>
      <c r="AA19" s="127"/>
      <c r="AB19" s="166"/>
      <c r="AC19" s="108"/>
      <c r="AD19" s="109"/>
      <c r="AE19" s="109"/>
      <c r="AF19" s="109"/>
      <c r="AG19" s="109"/>
      <c r="AH19" s="109"/>
      <c r="AI19" s="436"/>
      <c r="AJ19" s="448"/>
      <c r="AK19" s="423"/>
      <c r="AL19" s="109"/>
      <c r="AM19" s="109"/>
      <c r="AN19" s="109"/>
      <c r="AO19" s="109"/>
      <c r="AP19" s="109"/>
      <c r="AQ19" s="436"/>
      <c r="AR19" s="448"/>
      <c r="AS19" s="214"/>
      <c r="AT19" s="134"/>
      <c r="AU19" s="109"/>
      <c r="AV19" s="109"/>
      <c r="AW19" s="109"/>
      <c r="AX19" s="109"/>
      <c r="AY19" s="127"/>
    </row>
    <row r="20" spans="1:53" x14ac:dyDescent="0.25">
      <c r="A20" s="101"/>
      <c r="B20" s="115" t="s">
        <v>74</v>
      </c>
      <c r="C20" s="100">
        <v>9</v>
      </c>
      <c r="D20" s="166"/>
      <c r="E20" s="108">
        <v>5419390</v>
      </c>
      <c r="F20" s="109">
        <v>6563784</v>
      </c>
      <c r="G20" s="109"/>
      <c r="H20" s="110">
        <v>-416500</v>
      </c>
      <c r="I20" s="109">
        <v>-485000</v>
      </c>
      <c r="J20" s="109">
        <v>-434199</v>
      </c>
      <c r="K20" s="111">
        <f>J20/F20</f>
        <v>-6.6150714283102555E-2</v>
      </c>
      <c r="L20" s="166"/>
      <c r="M20" s="108">
        <v>5659287</v>
      </c>
      <c r="N20" s="109">
        <v>6928846</v>
      </c>
      <c r="O20" s="109"/>
      <c r="P20" s="109">
        <v>0</v>
      </c>
      <c r="Q20" s="109">
        <v>220000</v>
      </c>
      <c r="R20" s="109">
        <v>123639</v>
      </c>
      <c r="S20" s="111">
        <v>1.7999999999999999E-2</v>
      </c>
      <c r="T20" s="166"/>
      <c r="U20" s="112">
        <f>SUM(U21:U24)</f>
        <v>7928226</v>
      </c>
      <c r="V20" s="109">
        <f>SUM(V21:V24)</f>
        <v>5588457</v>
      </c>
      <c r="W20" s="109">
        <f>SUM(W21:W24)</f>
        <v>0</v>
      </c>
      <c r="X20" s="109">
        <f>SUM(X21:X24)</f>
        <v>140000</v>
      </c>
      <c r="Y20" s="109">
        <f>SUM(Y21:Y24)</f>
        <v>151000</v>
      </c>
      <c r="Z20" s="109">
        <v>-173888</v>
      </c>
      <c r="AA20" s="111">
        <v>-4.7951184578954795E-4</v>
      </c>
      <c r="AB20" s="166"/>
      <c r="AC20" s="108">
        <v>8172313</v>
      </c>
      <c r="AD20" s="109">
        <v>5659287</v>
      </c>
      <c r="AE20" s="109">
        <v>0</v>
      </c>
      <c r="AF20" s="109">
        <v>-15000</v>
      </c>
      <c r="AG20" s="109">
        <v>-445000</v>
      </c>
      <c r="AH20" s="109">
        <v>376256</v>
      </c>
      <c r="AI20" s="435">
        <f t="shared" si="2"/>
        <v>4.6040331543835876E-2</v>
      </c>
      <c r="AJ20" s="448"/>
      <c r="AK20" s="423">
        <v>9049487</v>
      </c>
      <c r="AL20" s="109">
        <f>AK20-2519883</f>
        <v>6529604</v>
      </c>
      <c r="AM20" s="109">
        <v>0</v>
      </c>
      <c r="AN20" s="109">
        <f>Fin!$K$6</f>
        <v>88000</v>
      </c>
      <c r="AO20" s="109">
        <f>Fin!$K$7</f>
        <v>170000</v>
      </c>
      <c r="AP20" s="109">
        <v>524552</v>
      </c>
      <c r="AQ20" s="435">
        <f t="shared" ref="AQ20:AQ27" si="10">AP20/AK20</f>
        <v>5.7964832702671436E-2</v>
      </c>
      <c r="AR20" s="448"/>
      <c r="AS20" s="214">
        <f>+Fin!G5</f>
        <v>8983862</v>
      </c>
      <c r="AT20" s="134">
        <f>+Fin!G6</f>
        <v>6339315</v>
      </c>
      <c r="AU20" s="109">
        <f>+Fin!L5</f>
        <v>0</v>
      </c>
      <c r="AV20" s="109">
        <f>Fin!$L$6</f>
        <v>95000</v>
      </c>
      <c r="AW20" s="109">
        <f>Fin!$L$7</f>
        <v>175000</v>
      </c>
      <c r="AX20" s="109">
        <f>Fin!$L$8</f>
        <v>0</v>
      </c>
      <c r="AY20" s="111">
        <f t="shared" ref="AY20:AY27" si="11">AW20/AS20</f>
        <v>1.9479373124832059E-2</v>
      </c>
    </row>
    <row r="21" spans="1:53" s="131" customFormat="1" hidden="1" outlineLevel="1" x14ac:dyDescent="0.25">
      <c r="A21" s="223"/>
      <c r="B21" s="224" t="s">
        <v>75</v>
      </c>
      <c r="C21" s="225">
        <v>3</v>
      </c>
      <c r="D21" s="433"/>
      <c r="E21" s="227"/>
      <c r="F21" s="228"/>
      <c r="G21" s="228"/>
      <c r="H21" s="229"/>
      <c r="I21" s="228"/>
      <c r="J21" s="228"/>
      <c r="K21" s="230"/>
      <c r="L21" s="433"/>
      <c r="M21" s="227"/>
      <c r="N21" s="228"/>
      <c r="O21" s="228"/>
      <c r="P21" s="228"/>
      <c r="Q21" s="228"/>
      <c r="R21" s="228"/>
      <c r="S21" s="230"/>
      <c r="T21" s="433"/>
      <c r="U21" s="231">
        <v>2869585</v>
      </c>
      <c r="V21" s="228">
        <v>2558194</v>
      </c>
      <c r="W21" s="228">
        <v>0</v>
      </c>
      <c r="X21" s="228">
        <v>-25000</v>
      </c>
      <c r="Y21" s="228">
        <v>-25000</v>
      </c>
      <c r="Z21" s="228">
        <v>-1376</v>
      </c>
      <c r="AA21" s="230">
        <v>-4.7951184578954795E-4</v>
      </c>
      <c r="AB21" s="433"/>
      <c r="AC21" s="227">
        <v>0</v>
      </c>
      <c r="AD21" s="228">
        <v>0</v>
      </c>
      <c r="AE21" s="228">
        <v>0</v>
      </c>
      <c r="AF21" s="228">
        <v>-14500</v>
      </c>
      <c r="AG21" s="228">
        <v>-85000</v>
      </c>
      <c r="AH21" s="228">
        <v>0</v>
      </c>
      <c r="AI21" s="420" t="e">
        <f t="shared" si="2"/>
        <v>#DIV/0!</v>
      </c>
      <c r="AJ21" s="450"/>
      <c r="AK21" s="424">
        <v>0</v>
      </c>
      <c r="AL21" s="228">
        <v>0</v>
      </c>
      <c r="AM21" s="228">
        <v>0</v>
      </c>
      <c r="AN21" s="228">
        <f>Myr!$K$6</f>
        <v>0</v>
      </c>
      <c r="AO21" s="228">
        <f>Myr!$K$7</f>
        <v>0</v>
      </c>
      <c r="AP21" s="228">
        <v>0</v>
      </c>
      <c r="AQ21" s="420"/>
      <c r="AR21" s="450"/>
      <c r="AS21" s="227"/>
      <c r="AT21" s="228"/>
      <c r="AU21" s="228"/>
      <c r="AV21" s="228"/>
      <c r="AW21" s="228">
        <f>Myr!$L$7</f>
        <v>0</v>
      </c>
      <c r="AX21" s="228">
        <f>Myr!$L$8</f>
        <v>0</v>
      </c>
      <c r="AY21" s="230" t="e">
        <f t="shared" si="11"/>
        <v>#DIV/0!</v>
      </c>
      <c r="AZ21" s="130"/>
      <c r="BA21" s="130"/>
    </row>
    <row r="22" spans="1:53" s="131" customFormat="1" hidden="1" outlineLevel="1" x14ac:dyDescent="0.25">
      <c r="A22" s="223"/>
      <c r="B22" s="224" t="s">
        <v>76</v>
      </c>
      <c r="C22" s="225">
        <v>4</v>
      </c>
      <c r="D22" s="433"/>
      <c r="E22" s="227"/>
      <c r="F22" s="228"/>
      <c r="G22" s="228"/>
      <c r="H22" s="229"/>
      <c r="I22" s="228"/>
      <c r="J22" s="228"/>
      <c r="K22" s="230"/>
      <c r="L22" s="433"/>
      <c r="M22" s="227"/>
      <c r="N22" s="228"/>
      <c r="O22" s="228"/>
      <c r="P22" s="228"/>
      <c r="Q22" s="228"/>
      <c r="R22" s="228"/>
      <c r="S22" s="230"/>
      <c r="T22" s="433"/>
      <c r="U22" s="231">
        <v>2676906</v>
      </c>
      <c r="V22" s="228">
        <v>1868158</v>
      </c>
      <c r="W22" s="228">
        <v>0</v>
      </c>
      <c r="X22" s="228">
        <v>91000</v>
      </c>
      <c r="Y22" s="228">
        <v>91000</v>
      </c>
      <c r="Z22" s="228">
        <v>229394</v>
      </c>
      <c r="AA22" s="230">
        <v>8.569370758629552E-2</v>
      </c>
      <c r="AB22" s="433"/>
      <c r="AC22" s="227">
        <v>0</v>
      </c>
      <c r="AD22" s="228">
        <v>0</v>
      </c>
      <c r="AE22" s="228">
        <v>0</v>
      </c>
      <c r="AF22" s="228">
        <v>0</v>
      </c>
      <c r="AG22" s="228">
        <v>0</v>
      </c>
      <c r="AH22" s="228">
        <v>0</v>
      </c>
      <c r="AI22" s="420" t="e">
        <f t="shared" si="2"/>
        <v>#DIV/0!</v>
      </c>
      <c r="AJ22" s="450"/>
      <c r="AK22" s="424">
        <v>0</v>
      </c>
      <c r="AL22" s="228">
        <v>0</v>
      </c>
      <c r="AM22" s="228">
        <v>0</v>
      </c>
      <c r="AN22" s="228">
        <f>Myr!$K$6</f>
        <v>0</v>
      </c>
      <c r="AO22" s="228">
        <f>Myr!$K$7</f>
        <v>0</v>
      </c>
      <c r="AP22" s="228">
        <v>0</v>
      </c>
      <c r="AQ22" s="420"/>
      <c r="AR22" s="450"/>
      <c r="AS22" s="227"/>
      <c r="AT22" s="228"/>
      <c r="AU22" s="228"/>
      <c r="AV22" s="228"/>
      <c r="AW22" s="228">
        <f>Myr!$L$7</f>
        <v>0</v>
      </c>
      <c r="AX22" s="228">
        <f>Myr!$L$8</f>
        <v>0</v>
      </c>
      <c r="AY22" s="230" t="e">
        <f t="shared" si="11"/>
        <v>#DIV/0!</v>
      </c>
      <c r="AZ22" s="130"/>
      <c r="BA22" s="130"/>
    </row>
    <row r="23" spans="1:53" s="131" customFormat="1" hidden="1" outlineLevel="1" x14ac:dyDescent="0.25">
      <c r="A23" s="223"/>
      <c r="B23" s="224" t="s">
        <v>77</v>
      </c>
      <c r="C23" s="225">
        <v>5</v>
      </c>
      <c r="D23" s="433"/>
      <c r="E23" s="227"/>
      <c r="F23" s="228"/>
      <c r="G23" s="228"/>
      <c r="H23" s="229"/>
      <c r="I23" s="228"/>
      <c r="J23" s="228"/>
      <c r="K23" s="230"/>
      <c r="L23" s="433"/>
      <c r="M23" s="227"/>
      <c r="N23" s="228"/>
      <c r="O23" s="228"/>
      <c r="P23" s="228"/>
      <c r="Q23" s="228"/>
      <c r="R23" s="228"/>
      <c r="S23" s="230"/>
      <c r="T23" s="433"/>
      <c r="U23" s="231">
        <v>1871752</v>
      </c>
      <c r="V23" s="228">
        <v>652122</v>
      </c>
      <c r="W23" s="228">
        <v>0</v>
      </c>
      <c r="X23" s="228">
        <v>44000</v>
      </c>
      <c r="Y23" s="228">
        <v>55000</v>
      </c>
      <c r="Z23" s="228">
        <v>141865</v>
      </c>
      <c r="AA23" s="230">
        <v>7.5792626373579405E-2</v>
      </c>
      <c r="AB23" s="433"/>
      <c r="AC23" s="227">
        <v>0</v>
      </c>
      <c r="AD23" s="228">
        <v>0</v>
      </c>
      <c r="AE23" s="228">
        <v>0</v>
      </c>
      <c r="AF23" s="228">
        <v>32000</v>
      </c>
      <c r="AG23" s="228">
        <v>34000</v>
      </c>
      <c r="AH23" s="228">
        <v>0</v>
      </c>
      <c r="AI23" s="420" t="e">
        <f t="shared" si="2"/>
        <v>#DIV/0!</v>
      </c>
      <c r="AJ23" s="450"/>
      <c r="AK23" s="424">
        <v>0</v>
      </c>
      <c r="AL23" s="228">
        <v>0</v>
      </c>
      <c r="AM23" s="228">
        <v>0</v>
      </c>
      <c r="AN23" s="228">
        <f>Myr!$K$6</f>
        <v>0</v>
      </c>
      <c r="AO23" s="228">
        <f>Myr!$K$7</f>
        <v>0</v>
      </c>
      <c r="AP23" s="228">
        <v>0</v>
      </c>
      <c r="AQ23" s="420"/>
      <c r="AR23" s="450"/>
      <c r="AS23" s="227"/>
      <c r="AT23" s="228"/>
      <c r="AU23" s="228"/>
      <c r="AV23" s="228"/>
      <c r="AW23" s="228">
        <f>Myr!$L$7</f>
        <v>0</v>
      </c>
      <c r="AX23" s="228">
        <f>Myr!$L$8</f>
        <v>0</v>
      </c>
      <c r="AY23" s="230" t="e">
        <f t="shared" si="11"/>
        <v>#DIV/0!</v>
      </c>
      <c r="AZ23" s="130"/>
      <c r="BA23" s="130"/>
    </row>
    <row r="24" spans="1:53" s="131" customFormat="1" hidden="1" outlineLevel="1" x14ac:dyDescent="0.25">
      <c r="A24" s="223"/>
      <c r="B24" s="224" t="s">
        <v>78</v>
      </c>
      <c r="C24" s="225">
        <v>6</v>
      </c>
      <c r="D24" s="433"/>
      <c r="E24" s="227"/>
      <c r="F24" s="228"/>
      <c r="G24" s="228"/>
      <c r="H24" s="229"/>
      <c r="I24" s="228"/>
      <c r="J24" s="228"/>
      <c r="K24" s="230"/>
      <c r="L24" s="433"/>
      <c r="M24" s="227"/>
      <c r="N24" s="228"/>
      <c r="O24" s="228"/>
      <c r="P24" s="228"/>
      <c r="Q24" s="228"/>
      <c r="R24" s="228"/>
      <c r="S24" s="230"/>
      <c r="T24" s="433"/>
      <c r="U24" s="231">
        <v>509983</v>
      </c>
      <c r="V24" s="228">
        <v>509983</v>
      </c>
      <c r="W24" s="228">
        <v>0</v>
      </c>
      <c r="X24" s="228">
        <v>30000</v>
      </c>
      <c r="Y24" s="228">
        <v>30000</v>
      </c>
      <c r="Z24" s="228">
        <v>-543771</v>
      </c>
      <c r="AA24" s="230">
        <v>-1.0662531888317845</v>
      </c>
      <c r="AB24" s="433"/>
      <c r="AC24" s="227">
        <v>0</v>
      </c>
      <c r="AD24" s="228">
        <v>0</v>
      </c>
      <c r="AE24" s="228">
        <v>0</v>
      </c>
      <c r="AF24" s="228">
        <v>-434000</v>
      </c>
      <c r="AG24" s="228">
        <v>-434000</v>
      </c>
      <c r="AH24" s="228">
        <v>0</v>
      </c>
      <c r="AI24" s="420" t="e">
        <f t="shared" si="2"/>
        <v>#DIV/0!</v>
      </c>
      <c r="AJ24" s="450"/>
      <c r="AK24" s="424">
        <v>0</v>
      </c>
      <c r="AL24" s="228">
        <v>0</v>
      </c>
      <c r="AM24" s="228">
        <v>0</v>
      </c>
      <c r="AN24" s="228">
        <f>Myr!$K$6</f>
        <v>0</v>
      </c>
      <c r="AO24" s="228">
        <f>Myr!$K$7</f>
        <v>0</v>
      </c>
      <c r="AP24" s="228">
        <v>0</v>
      </c>
      <c r="AQ24" s="420"/>
      <c r="AR24" s="450"/>
      <c r="AS24" s="227"/>
      <c r="AT24" s="228"/>
      <c r="AU24" s="228"/>
      <c r="AV24" s="228"/>
      <c r="AW24" s="228">
        <f>Myr!$L$7</f>
        <v>0</v>
      </c>
      <c r="AX24" s="228">
        <f>Myr!$L$8</f>
        <v>0</v>
      </c>
      <c r="AY24" s="230" t="e">
        <f t="shared" si="11"/>
        <v>#DIV/0!</v>
      </c>
      <c r="AZ24" s="130"/>
      <c r="BA24" s="130"/>
    </row>
    <row r="25" spans="1:53" collapsed="1" x14ac:dyDescent="0.25">
      <c r="A25" s="101"/>
      <c r="B25" s="115" t="s">
        <v>79</v>
      </c>
      <c r="C25" s="100">
        <v>10</v>
      </c>
      <c r="D25" s="166"/>
      <c r="E25" s="108">
        <v>5146744</v>
      </c>
      <c r="F25" s="109">
        <v>6330434</v>
      </c>
      <c r="G25" s="109"/>
      <c r="H25" s="110">
        <v>0</v>
      </c>
      <c r="I25" s="109">
        <v>60000</v>
      </c>
      <c r="J25" s="109">
        <v>180384</v>
      </c>
      <c r="K25" s="111">
        <f>J25/F25</f>
        <v>2.8494728797425265E-2</v>
      </c>
      <c r="L25" s="166"/>
      <c r="M25" s="108">
        <v>4800953</v>
      </c>
      <c r="N25" s="109">
        <v>6102602</v>
      </c>
      <c r="O25" s="109"/>
      <c r="P25" s="109">
        <v>0</v>
      </c>
      <c r="Q25" s="109">
        <v>0</v>
      </c>
      <c r="R25" s="109">
        <v>-8212</v>
      </c>
      <c r="S25" s="111">
        <v>-1E-3</v>
      </c>
      <c r="T25" s="166"/>
      <c r="U25" s="112">
        <v>6107129</v>
      </c>
      <c r="V25" s="109">
        <v>4828551</v>
      </c>
      <c r="W25" s="109">
        <v>0</v>
      </c>
      <c r="X25" s="109">
        <v>0</v>
      </c>
      <c r="Y25" s="109">
        <v>0</v>
      </c>
      <c r="Z25" s="132">
        <v>10702.040000000037</v>
      </c>
      <c r="AA25" s="111">
        <f>Z25/U25</f>
        <v>1.7523847948848039E-3</v>
      </c>
      <c r="AB25" s="166"/>
      <c r="AC25" s="108">
        <v>6467384</v>
      </c>
      <c r="AD25" s="109">
        <v>5128337</v>
      </c>
      <c r="AE25" s="109">
        <v>0</v>
      </c>
      <c r="AF25" s="109">
        <v>71000</v>
      </c>
      <c r="AG25" s="109">
        <v>68000</v>
      </c>
      <c r="AH25" s="109">
        <v>77607</v>
      </c>
      <c r="AI25" s="435">
        <f t="shared" si="2"/>
        <v>1.1999751367786419E-2</v>
      </c>
      <c r="AJ25" s="448"/>
      <c r="AK25" s="423">
        <v>6669110</v>
      </c>
      <c r="AL25" s="109">
        <f>AK25-1346274</f>
        <v>5322836</v>
      </c>
      <c r="AM25" s="109">
        <v>0</v>
      </c>
      <c r="AN25" s="109">
        <f>IT!$K$6</f>
        <v>65000</v>
      </c>
      <c r="AO25" s="109">
        <f>IT!$K$7</f>
        <v>45000</v>
      </c>
      <c r="AP25" s="109">
        <v>50812</v>
      </c>
      <c r="AQ25" s="435">
        <f t="shared" si="10"/>
        <v>7.6190076337022484E-3</v>
      </c>
      <c r="AR25" s="448"/>
      <c r="AS25" s="214">
        <f>+IT!G5</f>
        <v>7060481.2199999997</v>
      </c>
      <c r="AT25" s="134">
        <f>+IT!G6</f>
        <v>5761026.2199999997</v>
      </c>
      <c r="AU25" s="109">
        <f>+IT!L5</f>
        <v>0</v>
      </c>
      <c r="AV25" s="109">
        <f>IT!$L$6</f>
        <v>43000</v>
      </c>
      <c r="AW25" s="109">
        <f>IT!$L$7</f>
        <v>36000</v>
      </c>
      <c r="AX25" s="109">
        <f>IT!$L$8</f>
        <v>0</v>
      </c>
      <c r="AY25" s="111">
        <f t="shared" si="11"/>
        <v>5.0988025997468767E-3</v>
      </c>
    </row>
    <row r="26" spans="1:53" x14ac:dyDescent="0.25">
      <c r="A26" s="101"/>
      <c r="B26" s="115" t="s">
        <v>80</v>
      </c>
      <c r="C26" s="512" t="s">
        <v>407</v>
      </c>
      <c r="D26" s="166"/>
      <c r="E26" s="108">
        <v>-257031659</v>
      </c>
      <c r="F26" s="109">
        <v>101723229</v>
      </c>
      <c r="G26" s="109"/>
      <c r="H26" s="110">
        <v>-1768000</v>
      </c>
      <c r="I26" s="109">
        <v>-963500</v>
      </c>
      <c r="J26" s="109">
        <v>3240927</v>
      </c>
      <c r="K26" s="111">
        <v>6.6000000000000003E-2</v>
      </c>
      <c r="L26" s="166"/>
      <c r="M26" s="108">
        <v>-255232076</v>
      </c>
      <c r="N26" s="109">
        <v>101807116</v>
      </c>
      <c r="O26" s="109"/>
      <c r="P26" s="109">
        <v>0</v>
      </c>
      <c r="Q26" s="109">
        <v>2925590</v>
      </c>
      <c r="R26" s="109">
        <v>4396189</v>
      </c>
      <c r="S26" s="111">
        <v>0.02</v>
      </c>
      <c r="T26" s="166"/>
      <c r="U26" s="112">
        <f>179356809-1500000+U8</f>
        <v>178368186</v>
      </c>
      <c r="V26" s="109">
        <f>-297494740-1500000+V8</f>
        <v>-298483363</v>
      </c>
      <c r="W26" s="109">
        <v>-3096100</v>
      </c>
      <c r="X26" s="109">
        <v>-3246100</v>
      </c>
      <c r="Y26" s="109">
        <v>-1106100</v>
      </c>
      <c r="Z26" s="109">
        <v>3221106</v>
      </c>
      <c r="AA26" s="111">
        <f>Z26/U26</f>
        <v>1.8058747314949986E-2</v>
      </c>
      <c r="AB26" s="166"/>
      <c r="AC26" s="108">
        <v>184614476</v>
      </c>
      <c r="AD26" s="109">
        <v>-278523323</v>
      </c>
      <c r="AE26" s="109">
        <v>0</v>
      </c>
      <c r="AF26" s="109">
        <v>1342000</v>
      </c>
      <c r="AG26" s="109">
        <v>1101000</v>
      </c>
      <c r="AH26" s="109">
        <v>-2497114</v>
      </c>
      <c r="AI26" s="435">
        <f t="shared" si="2"/>
        <v>-1.3526100737625796E-2</v>
      </c>
      <c r="AJ26" s="448"/>
      <c r="AK26" s="423">
        <f>158301892-1500000</f>
        <v>156801892</v>
      </c>
      <c r="AL26" s="109">
        <f>-277805665-1500000</f>
        <v>-279305665</v>
      </c>
      <c r="AM26" s="109">
        <v>0</v>
      </c>
      <c r="AN26" s="109">
        <f>CFA!$K$6</f>
        <v>1288000</v>
      </c>
      <c r="AO26" s="109">
        <f>CFA!$K$7</f>
        <v>1653000</v>
      </c>
      <c r="AP26" s="109">
        <v>1625171</v>
      </c>
      <c r="AQ26" s="435">
        <f t="shared" si="10"/>
        <v>1.0364485908116465E-2</v>
      </c>
      <c r="AR26" s="448"/>
      <c r="AS26" s="214">
        <f>166488597-2500000</f>
        <v>163988597</v>
      </c>
      <c r="AT26" s="134">
        <f>-280288197-2500000</f>
        <v>-282788197</v>
      </c>
      <c r="AU26" s="109">
        <f>+CFA!L5</f>
        <v>-495000</v>
      </c>
      <c r="AV26" s="109">
        <f>CFA!$L$6</f>
        <v>-695000</v>
      </c>
      <c r="AW26" s="109">
        <f>CFA!$L$7</f>
        <v>-875000</v>
      </c>
      <c r="AX26" s="109">
        <f>CFA!$L$8</f>
        <v>0</v>
      </c>
      <c r="AY26" s="111">
        <f t="shared" si="11"/>
        <v>-5.3357368500445189E-3</v>
      </c>
    </row>
    <row r="27" spans="1:53" s="125" customFormat="1" x14ac:dyDescent="0.25">
      <c r="A27" s="116" t="s">
        <v>81</v>
      </c>
      <c r="B27" s="117"/>
      <c r="C27" s="118"/>
      <c r="D27" s="166"/>
      <c r="E27" s="119">
        <f t="shared" ref="E27:J27" si="12">SUM(E20:E26)</f>
        <v>-246465525</v>
      </c>
      <c r="F27" s="120">
        <f t="shared" si="12"/>
        <v>114617447</v>
      </c>
      <c r="G27" s="120">
        <f t="shared" si="12"/>
        <v>0</v>
      </c>
      <c r="H27" s="121">
        <f t="shared" si="12"/>
        <v>-2184500</v>
      </c>
      <c r="I27" s="120">
        <f t="shared" si="12"/>
        <v>-1388500</v>
      </c>
      <c r="J27" s="120">
        <f t="shared" si="12"/>
        <v>2987112</v>
      </c>
      <c r="K27" s="122">
        <f>J27/F27</f>
        <v>2.606158205565336E-2</v>
      </c>
      <c r="L27" s="355"/>
      <c r="M27" s="119">
        <f>SUM(M20:M26)</f>
        <v>-244771836</v>
      </c>
      <c r="N27" s="120">
        <f>SUM(N20:N26)</f>
        <v>114838564</v>
      </c>
      <c r="O27" s="120">
        <f>SUM(O20:O26)</f>
        <v>0</v>
      </c>
      <c r="P27" s="120">
        <v>0</v>
      </c>
      <c r="Q27" s="120">
        <f>SUM(Q20:Q26)</f>
        <v>3145590</v>
      </c>
      <c r="R27" s="120">
        <f>SUM(R20:R26)</f>
        <v>4511616</v>
      </c>
      <c r="S27" s="122">
        <f>R27/N27</f>
        <v>3.9286593656813751E-2</v>
      </c>
      <c r="T27" s="355"/>
      <c r="U27" s="124">
        <f>SUM(U20:U26)-SUM(U21:U24)</f>
        <v>192403541</v>
      </c>
      <c r="V27" s="120">
        <f>SUM(V20:V26)-SUM(V21:V24)</f>
        <v>-288066355</v>
      </c>
      <c r="W27" s="120">
        <f>SUM(W21:W26)</f>
        <v>-3096100</v>
      </c>
      <c r="X27" s="120">
        <f>SUM(X21:X26)</f>
        <v>-3106100</v>
      </c>
      <c r="Y27" s="120">
        <f>SUM(Y21:Y26)</f>
        <v>-955100</v>
      </c>
      <c r="Z27" s="120">
        <f>SUM(Z21:Z26)</f>
        <v>3057920.04</v>
      </c>
      <c r="AA27" s="122">
        <f>Z27/U27</f>
        <v>1.5893262796031388E-2</v>
      </c>
      <c r="AB27" s="355"/>
      <c r="AC27" s="119">
        <v>199254173</v>
      </c>
      <c r="AD27" s="120">
        <v>-267735699</v>
      </c>
      <c r="AE27" s="120">
        <v>0</v>
      </c>
      <c r="AF27" s="120">
        <v>1398000</v>
      </c>
      <c r="AG27" s="120">
        <v>724000</v>
      </c>
      <c r="AH27" s="133">
        <v>-2043251</v>
      </c>
      <c r="AI27" s="354">
        <f t="shared" si="2"/>
        <v>-1.0254495397694883E-2</v>
      </c>
      <c r="AJ27" s="449"/>
      <c r="AK27" s="154">
        <f t="shared" ref="AK27:AL27" si="13">SUM(AK20:AK26)-SUM(AK21:AK24)</f>
        <v>172520489</v>
      </c>
      <c r="AL27" s="120">
        <f t="shared" si="13"/>
        <v>-267453225</v>
      </c>
      <c r="AM27" s="120">
        <f>SUM(AM20:AM26)-SUM(AM21:AM24)</f>
        <v>0</v>
      </c>
      <c r="AN27" s="133">
        <f>SUM(AN20:AN26)-SUM(AN21:AN24)</f>
        <v>1441000</v>
      </c>
      <c r="AO27" s="133">
        <f>SUM(AO20:AO26)-SUM(AO21:AO24)</f>
        <v>1868000</v>
      </c>
      <c r="AP27" s="133">
        <v>2200535</v>
      </c>
      <c r="AQ27" s="354">
        <f t="shared" si="10"/>
        <v>1.2755209614551927E-2</v>
      </c>
      <c r="AR27" s="449"/>
      <c r="AS27" s="215">
        <f>SUM(AS20:AS26)</f>
        <v>180032940.22</v>
      </c>
      <c r="AT27" s="133">
        <f>SUM(AT20:AT26)</f>
        <v>-270687855.77999997</v>
      </c>
      <c r="AU27" s="120">
        <f>SUM(AU20:AU26)</f>
        <v>-495000</v>
      </c>
      <c r="AV27" s="133">
        <f>SUM(AV20:AV26)-SUM(AV21:AV24)</f>
        <v>-557000</v>
      </c>
      <c r="AW27" s="133">
        <f>SUM(AW20:AW26)-SUM(AW21:AW24)</f>
        <v>-664000</v>
      </c>
      <c r="AX27" s="133">
        <f>SUM(AX20:AX26)-SUM(AX21:AX24)</f>
        <v>0</v>
      </c>
      <c r="AY27" s="122">
        <f t="shared" si="11"/>
        <v>-3.6882139412298268E-3</v>
      </c>
      <c r="AZ27" s="97"/>
      <c r="BA27" s="97"/>
    </row>
    <row r="28" spans="1:53" ht="6.75" customHeight="1" x14ac:dyDescent="0.25">
      <c r="A28" s="101"/>
      <c r="B28" s="115"/>
      <c r="C28" s="100"/>
      <c r="D28" s="166"/>
      <c r="E28" s="108"/>
      <c r="F28" s="109"/>
      <c r="G28" s="109"/>
      <c r="H28" s="110"/>
      <c r="I28" s="109"/>
      <c r="J28" s="109"/>
      <c r="K28" s="127"/>
      <c r="L28" s="166"/>
      <c r="M28" s="108"/>
      <c r="N28" s="109"/>
      <c r="O28" s="109"/>
      <c r="P28" s="109"/>
      <c r="Q28" s="109"/>
      <c r="R28" s="109"/>
      <c r="S28" s="127"/>
      <c r="T28" s="166"/>
      <c r="U28" s="112"/>
      <c r="V28" s="109"/>
      <c r="W28" s="109"/>
      <c r="X28" s="109"/>
      <c r="Y28" s="109"/>
      <c r="Z28" s="109"/>
      <c r="AA28" s="127"/>
      <c r="AB28" s="166"/>
      <c r="AC28" s="108"/>
      <c r="AD28" s="109"/>
      <c r="AE28" s="109"/>
      <c r="AF28" s="109"/>
      <c r="AG28" s="109"/>
      <c r="AH28" s="109"/>
      <c r="AI28" s="436"/>
      <c r="AJ28" s="448"/>
      <c r="AK28" s="423"/>
      <c r="AL28" s="109"/>
      <c r="AM28" s="109"/>
      <c r="AN28" s="109"/>
      <c r="AO28" s="109"/>
      <c r="AP28" s="109"/>
      <c r="AQ28" s="436"/>
      <c r="AR28" s="448"/>
      <c r="AS28" s="214"/>
      <c r="AT28" s="134"/>
      <c r="AU28" s="109"/>
      <c r="AV28" s="109"/>
      <c r="AW28" s="109"/>
      <c r="AX28" s="109"/>
      <c r="AY28" s="127"/>
    </row>
    <row r="29" spans="1:53" x14ac:dyDescent="0.25">
      <c r="A29" s="98" t="s">
        <v>82</v>
      </c>
      <c r="B29" s="115"/>
      <c r="C29" s="100"/>
      <c r="D29" s="166"/>
      <c r="E29" s="108"/>
      <c r="F29" s="109"/>
      <c r="G29" s="109"/>
      <c r="H29" s="110"/>
      <c r="I29" s="109"/>
      <c r="J29" s="109"/>
      <c r="K29" s="127"/>
      <c r="L29" s="166"/>
      <c r="M29" s="108"/>
      <c r="N29" s="109"/>
      <c r="O29" s="109"/>
      <c r="P29" s="109"/>
      <c r="Q29" s="109"/>
      <c r="R29" s="109"/>
      <c r="S29" s="127"/>
      <c r="T29" s="166"/>
      <c r="U29" s="112"/>
      <c r="V29" s="109"/>
      <c r="W29" s="109"/>
      <c r="X29" s="109"/>
      <c r="Y29" s="109"/>
      <c r="Z29" s="109"/>
      <c r="AA29" s="127"/>
      <c r="AB29" s="166"/>
      <c r="AC29" s="108"/>
      <c r="AD29" s="109"/>
      <c r="AE29" s="109"/>
      <c r="AF29" s="109"/>
      <c r="AG29" s="109"/>
      <c r="AH29" s="109"/>
      <c r="AI29" s="436"/>
      <c r="AJ29" s="448"/>
      <c r="AK29" s="423"/>
      <c r="AL29" s="109"/>
      <c r="AM29" s="109"/>
      <c r="AN29" s="109"/>
      <c r="AO29" s="109"/>
      <c r="AP29" s="109"/>
      <c r="AQ29" s="436"/>
      <c r="AR29" s="448"/>
      <c r="AS29" s="214"/>
      <c r="AT29" s="134"/>
      <c r="AU29" s="109"/>
      <c r="AV29" s="109"/>
      <c r="AW29" s="109"/>
      <c r="AX29" s="109"/>
      <c r="AY29" s="127"/>
    </row>
    <row r="30" spans="1:53" x14ac:dyDescent="0.25">
      <c r="A30" s="101"/>
      <c r="B30" s="115" t="s">
        <v>83</v>
      </c>
      <c r="C30" s="100">
        <v>14</v>
      </c>
      <c r="D30" s="166"/>
      <c r="E30" s="108">
        <v>3330478</v>
      </c>
      <c r="F30" s="109">
        <v>5561157</v>
      </c>
      <c r="G30" s="109"/>
      <c r="H30" s="110">
        <v>194000</v>
      </c>
      <c r="I30" s="109">
        <v>309000</v>
      </c>
      <c r="J30" s="109">
        <v>1000509</v>
      </c>
      <c r="K30" s="111">
        <f>J30/F30</f>
        <v>0.17991022371783424</v>
      </c>
      <c r="L30" s="166"/>
      <c r="M30" s="108">
        <v>3992597</v>
      </c>
      <c r="N30" s="109">
        <v>10959889</v>
      </c>
      <c r="O30" s="109"/>
      <c r="P30" s="109">
        <v>0</v>
      </c>
      <c r="Q30" s="109">
        <v>228000</v>
      </c>
      <c r="R30" s="109">
        <v>181255</v>
      </c>
      <c r="S30" s="111">
        <v>1.7000000000000001E-2</v>
      </c>
      <c r="T30" s="166"/>
      <c r="U30" s="112">
        <f>2350774+SUM(U31:U34)</f>
        <v>12197189</v>
      </c>
      <c r="V30" s="109">
        <f>2013515+SUM(V31:V34)</f>
        <v>2320665</v>
      </c>
      <c r="W30" s="109">
        <v>-480000</v>
      </c>
      <c r="X30" s="109">
        <v>-430000</v>
      </c>
      <c r="Y30" s="109">
        <v>-221000</v>
      </c>
      <c r="Z30" s="109">
        <v>432713</v>
      </c>
      <c r="AA30" s="111">
        <f t="shared" ref="AA30:AA38" si="14">Z30/U30</f>
        <v>3.5476452812201235E-2</v>
      </c>
      <c r="AB30" s="166"/>
      <c r="AC30" s="108">
        <v>12763917</v>
      </c>
      <c r="AD30" s="109">
        <v>3188106</v>
      </c>
      <c r="AE30" s="109">
        <v>0</v>
      </c>
      <c r="AF30" s="109">
        <v>372000</v>
      </c>
      <c r="AG30" s="109">
        <v>613000</v>
      </c>
      <c r="AH30" s="109">
        <v>424874</v>
      </c>
      <c r="AI30" s="435">
        <f t="shared" si="2"/>
        <v>3.328711711303043E-2</v>
      </c>
      <c r="AJ30" s="448"/>
      <c r="AK30" s="423">
        <v>13632010</v>
      </c>
      <c r="AL30" s="109">
        <f>AK30-10188533</f>
        <v>3443477</v>
      </c>
      <c r="AM30" s="109">
        <v>0</v>
      </c>
      <c r="AN30" s="109">
        <f>CS!$K$6</f>
        <v>-206500</v>
      </c>
      <c r="AO30" s="109">
        <f>CS!$K$7</f>
        <v>-168500</v>
      </c>
      <c r="AP30" s="109">
        <v>-201990</v>
      </c>
      <c r="AQ30" s="435">
        <f t="shared" ref="AQ30:AQ38" si="15">AP30/AK30</f>
        <v>-1.481733067977503E-2</v>
      </c>
      <c r="AR30" s="448"/>
      <c r="AS30" s="214">
        <f>+CS!G5</f>
        <v>8376364.0999999996</v>
      </c>
      <c r="AT30" s="134">
        <f>+CS!G6</f>
        <v>4750771</v>
      </c>
      <c r="AU30" s="109">
        <f>+CS!L5</f>
        <v>0</v>
      </c>
      <c r="AV30" s="109">
        <f>CS!$L$6</f>
        <v>35000</v>
      </c>
      <c r="AW30" s="109">
        <f>CS!$L$7</f>
        <v>145000</v>
      </c>
      <c r="AX30" s="109">
        <f>CS!$L$8</f>
        <v>0</v>
      </c>
      <c r="AY30" s="111">
        <f t="shared" ref="AY30:AY38" si="16">AW30/AS30</f>
        <v>1.7310613324461387E-2</v>
      </c>
    </row>
    <row r="31" spans="1:53" s="131" customFormat="1" hidden="1" outlineLevel="1" x14ac:dyDescent="0.25">
      <c r="A31" s="223"/>
      <c r="B31" s="224" t="s">
        <v>85</v>
      </c>
      <c r="C31" s="225"/>
      <c r="D31" s="433"/>
      <c r="E31" s="227"/>
      <c r="F31" s="228"/>
      <c r="G31" s="228"/>
      <c r="H31" s="229"/>
      <c r="I31" s="228"/>
      <c r="J31" s="228"/>
      <c r="K31" s="230"/>
      <c r="L31" s="433"/>
      <c r="M31" s="227"/>
      <c r="N31" s="228"/>
      <c r="O31" s="228"/>
      <c r="P31" s="228"/>
      <c r="Q31" s="228"/>
      <c r="R31" s="228"/>
      <c r="S31" s="230"/>
      <c r="T31" s="433"/>
      <c r="U31" s="231">
        <f>1668630</f>
        <v>1668630</v>
      </c>
      <c r="V31" s="228">
        <f>(-1215054)</f>
        <v>-1215054</v>
      </c>
      <c r="W31" s="228">
        <v>0</v>
      </c>
      <c r="X31" s="228">
        <v>0</v>
      </c>
      <c r="Y31" s="228">
        <v>0</v>
      </c>
      <c r="Z31" s="228">
        <v>-425794</v>
      </c>
      <c r="AA31" s="230">
        <f t="shared" si="14"/>
        <v>-0.25517580290417885</v>
      </c>
      <c r="AB31" s="433"/>
      <c r="AC31" s="227">
        <v>0</v>
      </c>
      <c r="AD31" s="228">
        <v>0</v>
      </c>
      <c r="AE31" s="228">
        <v>0</v>
      </c>
      <c r="AF31" s="228">
        <v>194000</v>
      </c>
      <c r="AG31" s="228">
        <v>194000</v>
      </c>
      <c r="AH31" s="228">
        <v>0</v>
      </c>
      <c r="AI31" s="420" t="e">
        <f t="shared" si="2"/>
        <v>#DIV/0!</v>
      </c>
      <c r="AJ31" s="450"/>
      <c r="AK31" s="424">
        <v>0</v>
      </c>
      <c r="AL31" s="228">
        <v>0</v>
      </c>
      <c r="AM31" s="228">
        <v>0</v>
      </c>
      <c r="AN31" s="228">
        <f>Myr!$K$6</f>
        <v>0</v>
      </c>
      <c r="AO31" s="228">
        <f>Myr!$K$7</f>
        <v>0</v>
      </c>
      <c r="AP31" s="228">
        <v>0</v>
      </c>
      <c r="AQ31" s="420"/>
      <c r="AR31" s="450"/>
      <c r="AS31" s="227"/>
      <c r="AT31" s="228"/>
      <c r="AU31" s="228"/>
      <c r="AV31" s="228"/>
      <c r="AW31" s="228"/>
      <c r="AX31" s="228"/>
      <c r="AY31" s="230" t="e">
        <f t="shared" si="16"/>
        <v>#DIV/0!</v>
      </c>
      <c r="AZ31" s="130"/>
      <c r="BA31" s="130"/>
    </row>
    <row r="32" spans="1:53" s="131" customFormat="1" hidden="1" outlineLevel="1" x14ac:dyDescent="0.25">
      <c r="A32" s="223"/>
      <c r="B32" s="224" t="s">
        <v>86</v>
      </c>
      <c r="C32" s="225"/>
      <c r="D32" s="433"/>
      <c r="E32" s="227"/>
      <c r="F32" s="228"/>
      <c r="G32" s="228"/>
      <c r="H32" s="229"/>
      <c r="I32" s="228"/>
      <c r="J32" s="228"/>
      <c r="K32" s="230"/>
      <c r="L32" s="433"/>
      <c r="M32" s="227"/>
      <c r="N32" s="228"/>
      <c r="O32" s="228"/>
      <c r="P32" s="228"/>
      <c r="Q32" s="228"/>
      <c r="R32" s="228"/>
      <c r="S32" s="230"/>
      <c r="T32" s="433"/>
      <c r="U32" s="231">
        <f>2378739</f>
        <v>2378739</v>
      </c>
      <c r="V32" s="228">
        <f>2140932</f>
        <v>2140932</v>
      </c>
      <c r="W32" s="228">
        <v>0</v>
      </c>
      <c r="X32" s="228">
        <v>0</v>
      </c>
      <c r="Y32" s="228">
        <v>0</v>
      </c>
      <c r="Z32" s="228">
        <v>66671</v>
      </c>
      <c r="AA32" s="230">
        <f t="shared" si="14"/>
        <v>2.8027875273411669E-2</v>
      </c>
      <c r="AB32" s="433"/>
      <c r="AC32" s="227">
        <v>0</v>
      </c>
      <c r="AD32" s="228">
        <v>0</v>
      </c>
      <c r="AE32" s="228">
        <v>0</v>
      </c>
      <c r="AF32" s="228">
        <v>0</v>
      </c>
      <c r="AG32" s="228">
        <v>90000</v>
      </c>
      <c r="AH32" s="228">
        <v>0</v>
      </c>
      <c r="AI32" s="420" t="e">
        <f t="shared" si="2"/>
        <v>#DIV/0!</v>
      </c>
      <c r="AJ32" s="450"/>
      <c r="AK32" s="424">
        <v>0</v>
      </c>
      <c r="AL32" s="228">
        <v>0</v>
      </c>
      <c r="AM32" s="228">
        <v>0</v>
      </c>
      <c r="AN32" s="228">
        <f>Myr!$K$6</f>
        <v>0</v>
      </c>
      <c r="AO32" s="228">
        <f>Myr!$K$7</f>
        <v>0</v>
      </c>
      <c r="AP32" s="228">
        <v>0</v>
      </c>
      <c r="AQ32" s="420"/>
      <c r="AR32" s="450"/>
      <c r="AS32" s="227"/>
      <c r="AT32" s="228"/>
      <c r="AU32" s="228"/>
      <c r="AV32" s="228"/>
      <c r="AW32" s="228"/>
      <c r="AX32" s="228"/>
      <c r="AY32" s="230" t="e">
        <f t="shared" si="16"/>
        <v>#DIV/0!</v>
      </c>
      <c r="AZ32" s="130"/>
      <c r="BA32" s="130"/>
    </row>
    <row r="33" spans="1:53" s="131" customFormat="1" hidden="1" outlineLevel="1" x14ac:dyDescent="0.25">
      <c r="A33" s="223"/>
      <c r="B33" s="224" t="s">
        <v>87</v>
      </c>
      <c r="C33" s="225"/>
      <c r="D33" s="433"/>
      <c r="E33" s="227"/>
      <c r="F33" s="228"/>
      <c r="G33" s="228"/>
      <c r="H33" s="229"/>
      <c r="I33" s="228"/>
      <c r="J33" s="228"/>
      <c r="K33" s="230"/>
      <c r="L33" s="433"/>
      <c r="M33" s="227"/>
      <c r="N33" s="228"/>
      <c r="O33" s="228"/>
      <c r="P33" s="228"/>
      <c r="Q33" s="228"/>
      <c r="R33" s="228"/>
      <c r="S33" s="230"/>
      <c r="T33" s="433"/>
      <c r="U33" s="231">
        <f>5560322</f>
        <v>5560322</v>
      </c>
      <c r="V33" s="228">
        <f>(-857452)</f>
        <v>-857452</v>
      </c>
      <c r="W33" s="228">
        <v>0</v>
      </c>
      <c r="X33" s="228">
        <v>0</v>
      </c>
      <c r="Y33" s="228">
        <v>0</v>
      </c>
      <c r="Z33" s="228">
        <v>158543</v>
      </c>
      <c r="AA33" s="230">
        <f t="shared" si="14"/>
        <v>2.8513276749080357E-2</v>
      </c>
      <c r="AB33" s="433"/>
      <c r="AC33" s="227">
        <v>0</v>
      </c>
      <c r="AD33" s="228">
        <v>0</v>
      </c>
      <c r="AE33" s="228">
        <v>0</v>
      </c>
      <c r="AF33" s="228">
        <v>0</v>
      </c>
      <c r="AG33" s="228">
        <v>0</v>
      </c>
      <c r="AH33" s="228">
        <v>0</v>
      </c>
      <c r="AI33" s="420" t="e">
        <f t="shared" si="2"/>
        <v>#DIV/0!</v>
      </c>
      <c r="AJ33" s="450"/>
      <c r="AK33" s="424">
        <v>0</v>
      </c>
      <c r="AL33" s="228">
        <v>0</v>
      </c>
      <c r="AM33" s="228">
        <v>0</v>
      </c>
      <c r="AN33" s="228">
        <f>Myr!$K$6</f>
        <v>0</v>
      </c>
      <c r="AO33" s="228">
        <f>Myr!$K$7</f>
        <v>0</v>
      </c>
      <c r="AP33" s="228">
        <v>0</v>
      </c>
      <c r="AQ33" s="420"/>
      <c r="AR33" s="450"/>
      <c r="AS33" s="227"/>
      <c r="AT33" s="228"/>
      <c r="AU33" s="228"/>
      <c r="AV33" s="228"/>
      <c r="AW33" s="228"/>
      <c r="AX33" s="228"/>
      <c r="AY33" s="230" t="e">
        <f t="shared" si="16"/>
        <v>#DIV/0!</v>
      </c>
      <c r="AZ33" s="130"/>
      <c r="BA33" s="130"/>
    </row>
    <row r="34" spans="1:53" s="131" customFormat="1" hidden="1" outlineLevel="1" x14ac:dyDescent="0.25">
      <c r="A34" s="223"/>
      <c r="B34" s="224" t="s">
        <v>88</v>
      </c>
      <c r="C34" s="225"/>
      <c r="D34" s="433"/>
      <c r="E34" s="227"/>
      <c r="F34" s="228"/>
      <c r="G34" s="228"/>
      <c r="H34" s="229"/>
      <c r="I34" s="228"/>
      <c r="J34" s="228"/>
      <c r="K34" s="230"/>
      <c r="L34" s="433"/>
      <c r="M34" s="227"/>
      <c r="N34" s="228"/>
      <c r="O34" s="228"/>
      <c r="P34" s="228"/>
      <c r="Q34" s="228"/>
      <c r="R34" s="228"/>
      <c r="S34" s="230"/>
      <c r="T34" s="433"/>
      <c r="U34" s="231">
        <f>238724</f>
        <v>238724</v>
      </c>
      <c r="V34" s="228">
        <f>238724</f>
        <v>238724</v>
      </c>
      <c r="W34" s="228">
        <v>0</v>
      </c>
      <c r="X34" s="228">
        <v>0</v>
      </c>
      <c r="Y34" s="228">
        <v>0</v>
      </c>
      <c r="Z34" s="228">
        <v>5461</v>
      </c>
      <c r="AA34" s="230">
        <f t="shared" si="14"/>
        <v>2.2875789614785275E-2</v>
      </c>
      <c r="AB34" s="433"/>
      <c r="AC34" s="227">
        <v>0</v>
      </c>
      <c r="AD34" s="228">
        <v>0</v>
      </c>
      <c r="AE34" s="228">
        <v>0</v>
      </c>
      <c r="AF34" s="228">
        <v>0</v>
      </c>
      <c r="AG34" s="228">
        <v>0</v>
      </c>
      <c r="AH34" s="228">
        <v>0</v>
      </c>
      <c r="AI34" s="420" t="e">
        <f t="shared" si="2"/>
        <v>#DIV/0!</v>
      </c>
      <c r="AJ34" s="450"/>
      <c r="AK34" s="424">
        <v>0</v>
      </c>
      <c r="AL34" s="228">
        <v>0</v>
      </c>
      <c r="AM34" s="228">
        <v>0</v>
      </c>
      <c r="AN34" s="228">
        <f>Myr!$K$6</f>
        <v>0</v>
      </c>
      <c r="AO34" s="228">
        <f>Myr!$K$7</f>
        <v>0</v>
      </c>
      <c r="AP34" s="228">
        <v>0</v>
      </c>
      <c r="AQ34" s="420"/>
      <c r="AR34" s="450"/>
      <c r="AS34" s="227"/>
      <c r="AT34" s="228"/>
      <c r="AU34" s="228"/>
      <c r="AV34" s="228"/>
      <c r="AW34" s="228"/>
      <c r="AX34" s="228"/>
      <c r="AY34" s="230" t="e">
        <f t="shared" si="16"/>
        <v>#DIV/0!</v>
      </c>
      <c r="AZ34" s="130"/>
      <c r="BA34" s="130"/>
    </row>
    <row r="35" spans="1:53" collapsed="1" x14ac:dyDescent="0.25">
      <c r="A35" s="101"/>
      <c r="B35" s="115" t="s">
        <v>89</v>
      </c>
      <c r="C35" s="100">
        <v>15</v>
      </c>
      <c r="D35" s="166"/>
      <c r="E35" s="108">
        <v>3646208</v>
      </c>
      <c r="F35" s="109">
        <v>3780215</v>
      </c>
      <c r="G35" s="109"/>
      <c r="H35" s="110">
        <v>0</v>
      </c>
      <c r="I35" s="109">
        <v>0</v>
      </c>
      <c r="J35" s="109">
        <v>127611</v>
      </c>
      <c r="K35" s="111">
        <f>J35/F35</f>
        <v>3.3757603734179138E-2</v>
      </c>
      <c r="L35" s="166"/>
      <c r="M35" s="108">
        <v>3595252</v>
      </c>
      <c r="N35" s="109">
        <v>3791910</v>
      </c>
      <c r="O35" s="109"/>
      <c r="P35" s="109">
        <v>0</v>
      </c>
      <c r="Q35" s="109">
        <v>0</v>
      </c>
      <c r="R35" s="109">
        <v>173958</v>
      </c>
      <c r="S35" s="111">
        <v>4.5999999999999999E-2</v>
      </c>
      <c r="T35" s="166"/>
      <c r="U35" s="112">
        <v>3705575</v>
      </c>
      <c r="V35" s="109">
        <v>3523917</v>
      </c>
      <c r="W35" s="109">
        <v>-77000</v>
      </c>
      <c r="X35" s="109">
        <v>-50000</v>
      </c>
      <c r="Y35" s="109">
        <v>-58000</v>
      </c>
      <c r="Z35" s="109">
        <v>59223</v>
      </c>
      <c r="AA35" s="111">
        <f t="shared" si="14"/>
        <v>1.5982135026277974E-2</v>
      </c>
      <c r="AB35" s="166"/>
      <c r="AC35" s="108">
        <v>3942138</v>
      </c>
      <c r="AD35" s="109">
        <v>3565918</v>
      </c>
      <c r="AE35" s="109">
        <v>0</v>
      </c>
      <c r="AF35" s="109">
        <v>0</v>
      </c>
      <c r="AG35" s="109">
        <v>43000</v>
      </c>
      <c r="AH35" s="109">
        <v>129391</v>
      </c>
      <c r="AI35" s="435">
        <f t="shared" si="2"/>
        <v>3.2822544517721097E-2</v>
      </c>
      <c r="AJ35" s="448"/>
      <c r="AK35" s="423">
        <v>4124652</v>
      </c>
      <c r="AL35" s="109">
        <f>AK35-402174</f>
        <v>3722478</v>
      </c>
      <c r="AM35" s="109">
        <v>0</v>
      </c>
      <c r="AN35" s="109">
        <f>HR!$K$6</f>
        <v>33000</v>
      </c>
      <c r="AO35" s="109">
        <f>HR!$K$7</f>
        <v>55000</v>
      </c>
      <c r="AP35" s="109">
        <v>139544</v>
      </c>
      <c r="AQ35" s="435">
        <f t="shared" si="15"/>
        <v>3.3831702650308437E-2</v>
      </c>
      <c r="AR35" s="448"/>
      <c r="AS35" s="214">
        <f>+HR!G5</f>
        <v>3929384.41</v>
      </c>
      <c r="AT35" s="134">
        <f>+HR!G6</f>
        <v>3693810.41</v>
      </c>
      <c r="AU35" s="109">
        <f>+HR!L5</f>
        <v>0</v>
      </c>
      <c r="AV35" s="109">
        <f>HR!$L$6</f>
        <v>0</v>
      </c>
      <c r="AW35" s="109">
        <f>HR!$L$7</f>
        <v>0</v>
      </c>
      <c r="AX35" s="109">
        <f>HR!$L$8</f>
        <v>0</v>
      </c>
      <c r="AY35" s="111">
        <f t="shared" si="16"/>
        <v>0</v>
      </c>
    </row>
    <row r="36" spans="1:53" x14ac:dyDescent="0.25">
      <c r="A36" s="101"/>
      <c r="B36" s="115" t="s">
        <v>90</v>
      </c>
      <c r="C36" s="100">
        <v>16</v>
      </c>
      <c r="D36" s="166"/>
      <c r="E36" s="108"/>
      <c r="F36" s="109"/>
      <c r="G36" s="109"/>
      <c r="H36" s="110"/>
      <c r="I36" s="109"/>
      <c r="J36" s="109"/>
      <c r="K36" s="111"/>
      <c r="L36" s="166"/>
      <c r="M36" s="108"/>
      <c r="N36" s="109"/>
      <c r="O36" s="109"/>
      <c r="P36" s="109"/>
      <c r="Q36" s="109"/>
      <c r="R36" s="109"/>
      <c r="S36" s="111"/>
      <c r="T36" s="166"/>
      <c r="U36" s="112">
        <v>32337384</v>
      </c>
      <c r="V36" s="109">
        <v>32337384</v>
      </c>
      <c r="W36" s="109">
        <v>0</v>
      </c>
      <c r="X36" s="109">
        <v>-395000</v>
      </c>
      <c r="Y36" s="109">
        <v>-396000</v>
      </c>
      <c r="Z36" s="109">
        <v>-499333</v>
      </c>
      <c r="AA36" s="111">
        <f t="shared" si="14"/>
        <v>-1.5441354192410864E-2</v>
      </c>
      <c r="AB36" s="166"/>
      <c r="AC36" s="108">
        <v>37306800</v>
      </c>
      <c r="AD36" s="109">
        <v>1778012</v>
      </c>
      <c r="AE36" s="109">
        <v>0</v>
      </c>
      <c r="AF36" s="109">
        <v>-120000</v>
      </c>
      <c r="AG36" s="109">
        <v>-300000</v>
      </c>
      <c r="AH36" s="134">
        <v>233384</v>
      </c>
      <c r="AI36" s="435">
        <f t="shared" si="2"/>
        <v>6.2558032315824458E-3</v>
      </c>
      <c r="AJ36" s="448"/>
      <c r="AK36" s="423">
        <v>39963101</v>
      </c>
      <c r="AL36" s="109">
        <f>AK36-45698476</f>
        <v>-5735375</v>
      </c>
      <c r="AM36" s="109">
        <v>0</v>
      </c>
      <c r="AN36" s="109">
        <f>CHR!$K$6</f>
        <v>0</v>
      </c>
      <c r="AO36" s="109">
        <f>CHR!$K$7</f>
        <v>0</v>
      </c>
      <c r="AP36" s="109">
        <v>-345932</v>
      </c>
      <c r="AQ36" s="435">
        <f t="shared" si="15"/>
        <v>-8.6562852066960471E-3</v>
      </c>
      <c r="AR36" s="448"/>
      <c r="AS36" s="214">
        <f>+CHR!G5</f>
        <v>40911821</v>
      </c>
      <c r="AT36" s="134">
        <f>+CHR!G6</f>
        <v>-6272470</v>
      </c>
      <c r="AU36" s="109">
        <f>+CHR!L5</f>
        <v>0</v>
      </c>
      <c r="AV36" s="109">
        <f>CHR!$L$6</f>
        <v>100000</v>
      </c>
      <c r="AW36" s="109">
        <f>CHR!$L$7</f>
        <v>704000</v>
      </c>
      <c r="AX36" s="109">
        <f>CHR!$L$8</f>
        <v>0</v>
      </c>
      <c r="AY36" s="111">
        <f t="shared" si="16"/>
        <v>1.7207740520765381E-2</v>
      </c>
    </row>
    <row r="37" spans="1:53" x14ac:dyDescent="0.25">
      <c r="A37" s="101"/>
      <c r="B37" s="115" t="s">
        <v>100</v>
      </c>
      <c r="C37" s="100">
        <v>17</v>
      </c>
      <c r="D37" s="166"/>
      <c r="E37" s="108">
        <v>2401159</v>
      </c>
      <c r="F37" s="109">
        <v>3356011</v>
      </c>
      <c r="G37" s="109"/>
      <c r="H37" s="109">
        <v>-61000</v>
      </c>
      <c r="I37" s="109">
        <v>-40000</v>
      </c>
      <c r="J37" s="109">
        <v>-62566</v>
      </c>
      <c r="K37" s="111">
        <f>J37/F37</f>
        <v>-1.8642966307321401E-2</v>
      </c>
      <c r="L37" s="166"/>
      <c r="M37" s="108">
        <v>2556999</v>
      </c>
      <c r="N37" s="109">
        <v>3330816</v>
      </c>
      <c r="O37" s="109"/>
      <c r="P37" s="109">
        <v>0</v>
      </c>
      <c r="Q37" s="109">
        <v>300000</v>
      </c>
      <c r="R37" s="109">
        <v>115254</v>
      </c>
      <c r="S37" s="111">
        <v>3.5000000000000003E-2</v>
      </c>
      <c r="T37" s="166"/>
      <c r="U37" s="112">
        <v>3011968</v>
      </c>
      <c r="V37" s="109">
        <v>2314894</v>
      </c>
      <c r="W37" s="109">
        <v>0</v>
      </c>
      <c r="X37" s="109">
        <v>-100000</v>
      </c>
      <c r="Y37" s="109">
        <v>-40000</v>
      </c>
      <c r="Z37" s="109">
        <v>-101036</v>
      </c>
      <c r="AA37" s="111">
        <f>Z37/U37</f>
        <v>-3.354484509795589E-2</v>
      </c>
      <c r="AB37" s="166"/>
      <c r="AC37" s="108">
        <v>3206862</v>
      </c>
      <c r="AD37" s="109">
        <v>2464788</v>
      </c>
      <c r="AE37" s="109">
        <v>0</v>
      </c>
      <c r="AF37" s="109">
        <v>-152000</v>
      </c>
      <c r="AG37" s="109">
        <v>-154000</v>
      </c>
      <c r="AH37" s="134">
        <v>-259315</v>
      </c>
      <c r="AI37" s="435">
        <f>AH37/AC37</f>
        <v>-8.0862537895300762E-2</v>
      </c>
      <c r="AJ37" s="448"/>
      <c r="AK37" s="423">
        <v>3289143</v>
      </c>
      <c r="AL37" s="109">
        <f>AK37-552874</f>
        <v>2736269</v>
      </c>
      <c r="AM37" s="109">
        <v>0</v>
      </c>
      <c r="AN37" s="109">
        <f>Plan!$K$6</f>
        <v>0</v>
      </c>
      <c r="AO37" s="109">
        <f>Plan!$K$7</f>
        <v>0</v>
      </c>
      <c r="AP37" s="109">
        <v>30279</v>
      </c>
      <c r="AQ37" s="435">
        <f>AP37/AK37</f>
        <v>9.2057414347749555E-3</v>
      </c>
      <c r="AR37" s="448"/>
      <c r="AS37" s="214">
        <f>+Plan!G5</f>
        <v>3305426.72</v>
      </c>
      <c r="AT37" s="134">
        <f>+Plan!G6</f>
        <v>2752552.72</v>
      </c>
      <c r="AU37" s="109">
        <f>+Plan!L5</f>
        <v>-100000</v>
      </c>
      <c r="AV37" s="109">
        <f>Plan!$L$6</f>
        <v>137500</v>
      </c>
      <c r="AW37" s="109">
        <f>Plan!$L$7</f>
        <v>160000</v>
      </c>
      <c r="AX37" s="109">
        <f>Plan!$L$8</f>
        <v>0</v>
      </c>
      <c r="AY37" s="111">
        <f t="shared" si="16"/>
        <v>4.840524796144928E-2</v>
      </c>
    </row>
    <row r="38" spans="1:53" s="125" customFormat="1" x14ac:dyDescent="0.25">
      <c r="A38" s="116" t="s">
        <v>91</v>
      </c>
      <c r="B38" s="117"/>
      <c r="C38" s="118"/>
      <c r="D38" s="166"/>
      <c r="E38" s="119">
        <f t="shared" ref="E38:J38" si="17">SUM(E30:E36)</f>
        <v>6976686</v>
      </c>
      <c r="F38" s="120">
        <f t="shared" si="17"/>
        <v>9341372</v>
      </c>
      <c r="G38" s="120">
        <f t="shared" si="17"/>
        <v>0</v>
      </c>
      <c r="H38" s="121">
        <f t="shared" si="17"/>
        <v>194000</v>
      </c>
      <c r="I38" s="120">
        <f t="shared" si="17"/>
        <v>309000</v>
      </c>
      <c r="J38" s="120">
        <f t="shared" si="17"/>
        <v>1128120</v>
      </c>
      <c r="K38" s="122">
        <f>J38/F38</f>
        <v>0.1207659859815025</v>
      </c>
      <c r="L38" s="355"/>
      <c r="M38" s="119">
        <f>SUM(M30:M36)</f>
        <v>7587849</v>
      </c>
      <c r="N38" s="120">
        <f>SUM(N30:N36)</f>
        <v>14751799</v>
      </c>
      <c r="O38" s="120">
        <f>SUM(O30:O36)</f>
        <v>0</v>
      </c>
      <c r="P38" s="120">
        <v>0</v>
      </c>
      <c r="Q38" s="120">
        <f>SUM(Q30:Q36)</f>
        <v>228000</v>
      </c>
      <c r="R38" s="120">
        <f>SUM(R30:R36)</f>
        <v>355213</v>
      </c>
      <c r="S38" s="122">
        <f>R38/N38</f>
        <v>2.4079300429730638E-2</v>
      </c>
      <c r="T38" s="355"/>
      <c r="U38" s="124">
        <f>SUM(U30:U36)-SUM(U31:U34)</f>
        <v>48240148</v>
      </c>
      <c r="V38" s="120">
        <f>SUM(V30:V36)-SUM(V31:V34)</f>
        <v>38181966</v>
      </c>
      <c r="W38" s="120">
        <f>SUM(W30:W36)</f>
        <v>-557000</v>
      </c>
      <c r="X38" s="120">
        <f>SUM(X30:X36)</f>
        <v>-875000</v>
      </c>
      <c r="Y38" s="120">
        <f>SUM(Y30:Y36)</f>
        <v>-675000</v>
      </c>
      <c r="Z38" s="120">
        <f>SUM(Z30:Z36)</f>
        <v>-202516</v>
      </c>
      <c r="AA38" s="122">
        <f t="shared" si="14"/>
        <v>-4.1980799893068322E-3</v>
      </c>
      <c r="AB38" s="355"/>
      <c r="AC38" s="119">
        <v>54012855</v>
      </c>
      <c r="AD38" s="120">
        <v>8532036</v>
      </c>
      <c r="AE38" s="120">
        <v>0</v>
      </c>
      <c r="AF38" s="120">
        <v>252000</v>
      </c>
      <c r="AG38" s="120">
        <v>356000</v>
      </c>
      <c r="AH38" s="133">
        <v>787649</v>
      </c>
      <c r="AI38" s="354">
        <f t="shared" si="2"/>
        <v>1.4582621118620744E-2</v>
      </c>
      <c r="AJ38" s="449"/>
      <c r="AK38" s="154">
        <f>SUM(AK30:AK37)</f>
        <v>61008906</v>
      </c>
      <c r="AL38" s="120">
        <f t="shared" ref="AL38:AP38" si="18">SUM(AL30:AL37)</f>
        <v>4166849</v>
      </c>
      <c r="AM38" s="120">
        <f t="shared" si="18"/>
        <v>0</v>
      </c>
      <c r="AN38" s="133">
        <f t="shared" si="18"/>
        <v>-173500</v>
      </c>
      <c r="AO38" s="133">
        <f t="shared" si="18"/>
        <v>-113500</v>
      </c>
      <c r="AP38" s="133">
        <f t="shared" si="18"/>
        <v>-378099</v>
      </c>
      <c r="AQ38" s="354">
        <f t="shared" si="15"/>
        <v>-6.1974394361374056E-3</v>
      </c>
      <c r="AR38" s="449"/>
      <c r="AS38" s="215">
        <f t="shared" ref="AS38" si="19">SUM(AS30:AS37)</f>
        <v>56522996.229999997</v>
      </c>
      <c r="AT38" s="133">
        <f t="shared" ref="AT38" si="20">SUM(AT30:AT37)</f>
        <v>4924664.1300000008</v>
      </c>
      <c r="AU38" s="120">
        <f t="shared" ref="AU38" si="21">SUM(AU30:AU37)</f>
        <v>-100000</v>
      </c>
      <c r="AV38" s="133">
        <f t="shared" ref="AV38" si="22">SUM(AV30:AV37)</f>
        <v>272500</v>
      </c>
      <c r="AW38" s="133">
        <f t="shared" ref="AW38:AX38" si="23">SUM(AW30:AW37)</f>
        <v>1009000</v>
      </c>
      <c r="AX38" s="133">
        <f t="shared" si="23"/>
        <v>0</v>
      </c>
      <c r="AY38" s="122">
        <f t="shared" si="16"/>
        <v>1.7851141434439135E-2</v>
      </c>
      <c r="AZ38" s="97"/>
      <c r="BA38" s="97"/>
    </row>
    <row r="39" spans="1:53" ht="6.75" hidden="1" customHeight="1" outlineLevel="1" x14ac:dyDescent="0.25">
      <c r="A39" s="101"/>
      <c r="B39" s="115"/>
      <c r="C39" s="100"/>
      <c r="D39" s="166"/>
      <c r="E39" s="108"/>
      <c r="F39" s="109"/>
      <c r="G39" s="109"/>
      <c r="H39" s="110"/>
      <c r="I39" s="109"/>
      <c r="J39" s="109"/>
      <c r="K39" s="127"/>
      <c r="L39" s="166"/>
      <c r="M39" s="108"/>
      <c r="N39" s="109"/>
      <c r="O39" s="109"/>
      <c r="P39" s="109"/>
      <c r="Q39" s="109"/>
      <c r="R39" s="109"/>
      <c r="S39" s="127"/>
      <c r="T39" s="166"/>
      <c r="U39" s="112"/>
      <c r="V39" s="109"/>
      <c r="W39" s="109"/>
      <c r="X39" s="109"/>
      <c r="Y39" s="109"/>
      <c r="Z39" s="109"/>
      <c r="AA39" s="127"/>
      <c r="AB39" s="166"/>
      <c r="AC39" s="108"/>
      <c r="AD39" s="109"/>
      <c r="AE39" s="109"/>
      <c r="AF39" s="109"/>
      <c r="AG39" s="109"/>
      <c r="AH39" s="134"/>
      <c r="AI39" s="436"/>
      <c r="AJ39" s="448"/>
      <c r="AK39" s="423"/>
      <c r="AL39" s="109"/>
      <c r="AM39" s="109"/>
      <c r="AN39" s="134"/>
      <c r="AO39" s="134"/>
      <c r="AP39" s="134"/>
      <c r="AQ39" s="436"/>
      <c r="AR39" s="448"/>
      <c r="AS39" s="214"/>
      <c r="AT39" s="134"/>
      <c r="AU39" s="109"/>
      <c r="AV39" s="134"/>
      <c r="AW39" s="134"/>
      <c r="AX39" s="134"/>
      <c r="AY39" s="127"/>
    </row>
    <row r="40" spans="1:53" hidden="1" outlineLevel="1" x14ac:dyDescent="0.25">
      <c r="A40" s="98" t="s">
        <v>92</v>
      </c>
      <c r="B40" s="115"/>
      <c r="C40" s="100"/>
      <c r="D40" s="166"/>
      <c r="E40" s="108"/>
      <c r="F40" s="109"/>
      <c r="G40" s="109"/>
      <c r="H40" s="110"/>
      <c r="I40" s="109"/>
      <c r="J40" s="109"/>
      <c r="K40" s="127"/>
      <c r="L40" s="166"/>
      <c r="M40" s="108"/>
      <c r="N40" s="109"/>
      <c r="O40" s="109"/>
      <c r="P40" s="109"/>
      <c r="Q40" s="109"/>
      <c r="R40" s="109"/>
      <c r="S40" s="127"/>
      <c r="T40" s="166"/>
      <c r="U40" s="112"/>
      <c r="V40" s="109"/>
      <c r="W40" s="109"/>
      <c r="X40" s="109"/>
      <c r="Y40" s="109"/>
      <c r="Z40" s="109"/>
      <c r="AA40" s="127"/>
      <c r="AB40" s="166"/>
      <c r="AC40" s="108"/>
      <c r="AD40" s="109"/>
      <c r="AE40" s="109"/>
      <c r="AF40" s="109"/>
      <c r="AG40" s="109"/>
      <c r="AH40" s="134"/>
      <c r="AI40" s="436"/>
      <c r="AJ40" s="448"/>
      <c r="AK40" s="423"/>
      <c r="AL40" s="109"/>
      <c r="AM40" s="109"/>
      <c r="AN40" s="134"/>
      <c r="AO40" s="134"/>
      <c r="AP40" s="134"/>
      <c r="AQ40" s="436"/>
      <c r="AR40" s="448"/>
      <c r="AS40" s="214"/>
      <c r="AT40" s="134"/>
      <c r="AU40" s="109"/>
      <c r="AV40" s="134"/>
      <c r="AW40" s="134"/>
      <c r="AX40" s="134"/>
      <c r="AY40" s="127"/>
    </row>
    <row r="41" spans="1:53" s="131" customFormat="1" hidden="1" outlineLevel="1" x14ac:dyDescent="0.25">
      <c r="A41" s="129"/>
      <c r="B41" s="224" t="s">
        <v>95</v>
      </c>
      <c r="C41" s="225">
        <v>13</v>
      </c>
      <c r="D41" s="433"/>
      <c r="E41" s="227">
        <v>-531900</v>
      </c>
      <c r="F41" s="228"/>
      <c r="G41" s="228"/>
      <c r="H41" s="229">
        <v>0</v>
      </c>
      <c r="I41" s="228">
        <v>0</v>
      </c>
      <c r="J41" s="228">
        <v>-186866</v>
      </c>
      <c r="K41" s="230" t="e">
        <f t="shared" ref="K41:K43" si="24">J41/F41</f>
        <v>#DIV/0!</v>
      </c>
      <c r="L41" s="433"/>
      <c r="M41" s="227">
        <v>-748551</v>
      </c>
      <c r="N41" s="228"/>
      <c r="O41" s="228"/>
      <c r="P41" s="228">
        <v>0</v>
      </c>
      <c r="Q41" s="228">
        <v>-84200</v>
      </c>
      <c r="R41" s="228">
        <v>-419845</v>
      </c>
      <c r="S41" s="230">
        <v>-8.1669131910105885E-2</v>
      </c>
      <c r="T41" s="433"/>
      <c r="U41" s="231">
        <v>0</v>
      </c>
      <c r="V41" s="228">
        <v>0</v>
      </c>
      <c r="W41" s="228">
        <v>0</v>
      </c>
      <c r="X41" s="228">
        <v>0</v>
      </c>
      <c r="Y41" s="228">
        <v>0</v>
      </c>
      <c r="Z41" s="228">
        <v>0</v>
      </c>
      <c r="AA41" s="230"/>
      <c r="AB41" s="433"/>
      <c r="AC41" s="227">
        <v>0</v>
      </c>
      <c r="AD41" s="228">
        <v>0</v>
      </c>
      <c r="AE41" s="228">
        <v>0</v>
      </c>
      <c r="AF41" s="228">
        <v>0</v>
      </c>
      <c r="AG41" s="228">
        <v>0</v>
      </c>
      <c r="AH41" s="228">
        <v>0</v>
      </c>
      <c r="AI41" s="420" t="e">
        <f t="shared" si="2"/>
        <v>#DIV/0!</v>
      </c>
      <c r="AJ41" s="450"/>
      <c r="AK41" s="424">
        <v>0</v>
      </c>
      <c r="AL41" s="227"/>
      <c r="AM41" s="228"/>
      <c r="AN41" s="228"/>
      <c r="AO41" s="228"/>
      <c r="AP41" s="228"/>
      <c r="AQ41" s="229"/>
      <c r="AR41" s="453"/>
      <c r="AS41" s="421"/>
      <c r="AT41" s="228"/>
      <c r="AU41" s="229"/>
      <c r="AV41" s="228"/>
      <c r="AW41" s="228"/>
      <c r="AX41" s="228"/>
      <c r="AY41" s="422"/>
      <c r="AZ41" s="130"/>
      <c r="BA41" s="130"/>
    </row>
    <row r="42" spans="1:53" s="131" customFormat="1" hidden="1" outlineLevel="1" x14ac:dyDescent="0.25">
      <c r="A42" s="129"/>
      <c r="B42" s="224" t="s">
        <v>96</v>
      </c>
      <c r="C42" s="225">
        <v>12</v>
      </c>
      <c r="D42" s="433"/>
      <c r="E42" s="227">
        <v>1189556</v>
      </c>
      <c r="F42" s="228"/>
      <c r="G42" s="228"/>
      <c r="H42" s="229">
        <v>50000</v>
      </c>
      <c r="I42" s="228">
        <v>70000</v>
      </c>
      <c r="J42" s="228">
        <v>90063</v>
      </c>
      <c r="K42" s="230" t="e">
        <f t="shared" si="24"/>
        <v>#DIV/0!</v>
      </c>
      <c r="L42" s="433"/>
      <c r="M42" s="227">
        <v>1161431</v>
      </c>
      <c r="N42" s="228"/>
      <c r="O42" s="228"/>
      <c r="P42" s="228">
        <v>0</v>
      </c>
      <c r="Q42" s="228">
        <v>70000</v>
      </c>
      <c r="R42" s="228">
        <v>285555</v>
      </c>
      <c r="S42" s="230">
        <v>0.2437771955570239</v>
      </c>
      <c r="T42" s="433"/>
      <c r="U42" s="231">
        <v>0</v>
      </c>
      <c r="V42" s="228">
        <v>0</v>
      </c>
      <c r="W42" s="228">
        <v>0</v>
      </c>
      <c r="X42" s="228">
        <v>0</v>
      </c>
      <c r="Y42" s="228">
        <v>0</v>
      </c>
      <c r="Z42" s="228">
        <v>0</v>
      </c>
      <c r="AA42" s="230"/>
      <c r="AB42" s="433"/>
      <c r="AC42" s="227">
        <v>0</v>
      </c>
      <c r="AD42" s="228">
        <v>0</v>
      </c>
      <c r="AE42" s="228">
        <v>0</v>
      </c>
      <c r="AF42" s="228">
        <v>0</v>
      </c>
      <c r="AG42" s="228">
        <v>0</v>
      </c>
      <c r="AH42" s="228">
        <v>0</v>
      </c>
      <c r="AI42" s="420" t="e">
        <f t="shared" si="2"/>
        <v>#DIV/0!</v>
      </c>
      <c r="AJ42" s="450"/>
      <c r="AK42" s="424">
        <v>0</v>
      </c>
      <c r="AL42" s="227"/>
      <c r="AM42" s="228"/>
      <c r="AN42" s="228"/>
      <c r="AO42" s="228"/>
      <c r="AP42" s="228"/>
      <c r="AQ42" s="229"/>
      <c r="AR42" s="453"/>
      <c r="AS42" s="421"/>
      <c r="AT42" s="228"/>
      <c r="AU42" s="229"/>
      <c r="AV42" s="228"/>
      <c r="AW42" s="228"/>
      <c r="AX42" s="228"/>
      <c r="AY42" s="422"/>
      <c r="AZ42" s="130"/>
      <c r="BA42" s="130"/>
    </row>
    <row r="43" spans="1:53" s="125" customFormat="1" hidden="1" outlineLevel="1" x14ac:dyDescent="0.25">
      <c r="A43" s="116" t="s">
        <v>101</v>
      </c>
      <c r="B43" s="117"/>
      <c r="C43" s="118"/>
      <c r="D43" s="166"/>
      <c r="E43" s="119">
        <f t="shared" ref="E43:J43" si="25">SUM(E14:E42)</f>
        <v>-435623943</v>
      </c>
      <c r="F43" s="120">
        <f t="shared" si="25"/>
        <v>301519639</v>
      </c>
      <c r="G43" s="120">
        <f t="shared" si="25"/>
        <v>0</v>
      </c>
      <c r="H43" s="120">
        <f t="shared" si="25"/>
        <v>-4669000</v>
      </c>
      <c r="I43" s="120">
        <f t="shared" si="25"/>
        <v>-2524000</v>
      </c>
      <c r="J43" s="120">
        <f t="shared" si="25"/>
        <v>7667175</v>
      </c>
      <c r="K43" s="122">
        <f t="shared" si="24"/>
        <v>2.5428443153581781E-2</v>
      </c>
      <c r="L43" s="355"/>
      <c r="M43" s="119">
        <f>SUM(M14:M42)</f>
        <v>-433534965</v>
      </c>
      <c r="N43" s="120">
        <f>SUM(N14:N42)</f>
        <v>296476641</v>
      </c>
      <c r="O43" s="120">
        <f>SUM(O14:O42)</f>
        <v>0</v>
      </c>
      <c r="P43" s="120">
        <v>0</v>
      </c>
      <c r="Q43" s="120">
        <f>SUM(Q14:Q42)</f>
        <v>8252748</v>
      </c>
      <c r="R43" s="120">
        <f>SUM(R14:R42)</f>
        <v>10127674</v>
      </c>
      <c r="S43" s="122">
        <f>R43/N43</f>
        <v>3.4160107743530461E-2</v>
      </c>
      <c r="T43" s="355"/>
      <c r="U43" s="124">
        <f t="shared" ref="U43:Z43" si="26">SUM(U14:U42)</f>
        <v>545895766</v>
      </c>
      <c r="V43" s="120">
        <f t="shared" si="26"/>
        <v>-451758283</v>
      </c>
      <c r="W43" s="120">
        <f t="shared" si="26"/>
        <v>-7541200</v>
      </c>
      <c r="X43" s="120">
        <f t="shared" si="26"/>
        <v>-8374700</v>
      </c>
      <c r="Y43" s="120">
        <f t="shared" si="26"/>
        <v>-3679200</v>
      </c>
      <c r="Z43" s="120">
        <f t="shared" si="26"/>
        <v>5269875.08</v>
      </c>
      <c r="AA43" s="122">
        <f>Z43/U43</f>
        <v>9.6536287845104853E-3</v>
      </c>
      <c r="AB43" s="355"/>
      <c r="AC43" s="119">
        <v>54006838</v>
      </c>
      <c r="AD43" s="120">
        <v>45485103</v>
      </c>
      <c r="AE43" s="120">
        <v>0</v>
      </c>
      <c r="AF43" s="120">
        <v>-357000</v>
      </c>
      <c r="AG43" s="120">
        <v>-497000</v>
      </c>
      <c r="AH43" s="133">
        <v>-424276</v>
      </c>
      <c r="AI43" s="354">
        <f t="shared" si="2"/>
        <v>-7.855968164623894E-3</v>
      </c>
      <c r="AJ43" s="449"/>
      <c r="AK43" s="154">
        <f>+SUM(AK41:AK42)</f>
        <v>0</v>
      </c>
      <c r="AL43" s="120">
        <f t="shared" ref="AL43:AP43" si="27">+SUM(AL41:AL42)</f>
        <v>0</v>
      </c>
      <c r="AM43" s="120">
        <f t="shared" si="27"/>
        <v>0</v>
      </c>
      <c r="AN43" s="133">
        <f t="shared" si="27"/>
        <v>0</v>
      </c>
      <c r="AO43" s="133">
        <f t="shared" si="27"/>
        <v>0</v>
      </c>
      <c r="AP43" s="133">
        <f t="shared" si="27"/>
        <v>0</v>
      </c>
      <c r="AQ43" s="354" t="e">
        <f t="shared" ref="AQ43" si="28">AP43/AK43</f>
        <v>#DIV/0!</v>
      </c>
      <c r="AR43" s="449"/>
      <c r="AS43" s="215">
        <f t="shared" ref="AS43:AX43" si="29">+SUM(AS41:AS42)</f>
        <v>0</v>
      </c>
      <c r="AT43" s="133">
        <f t="shared" si="29"/>
        <v>0</v>
      </c>
      <c r="AU43" s="120">
        <f t="shared" si="29"/>
        <v>0</v>
      </c>
      <c r="AV43" s="133">
        <f t="shared" si="29"/>
        <v>0</v>
      </c>
      <c r="AW43" s="133">
        <f t="shared" si="29"/>
        <v>0</v>
      </c>
      <c r="AX43" s="133">
        <f t="shared" si="29"/>
        <v>0</v>
      </c>
      <c r="AY43" s="122" t="e">
        <f>AV43/AS43</f>
        <v>#DIV/0!</v>
      </c>
      <c r="AZ43" s="97"/>
      <c r="BA43" s="95"/>
    </row>
    <row r="44" spans="1:53" ht="12" customHeight="1" collapsed="1" x14ac:dyDescent="0.25">
      <c r="A44" s="101"/>
      <c r="B44" s="115"/>
      <c r="C44" s="100"/>
      <c r="D44" s="166"/>
      <c r="E44" s="135"/>
      <c r="F44" s="136"/>
      <c r="G44" s="136"/>
      <c r="H44" s="136"/>
      <c r="I44" s="136"/>
      <c r="J44" s="136"/>
      <c r="K44" s="137"/>
      <c r="L44" s="166"/>
      <c r="M44" s="108"/>
      <c r="N44" s="109"/>
      <c r="O44" s="109"/>
      <c r="P44" s="109"/>
      <c r="Q44" s="109"/>
      <c r="R44" s="109"/>
      <c r="S44" s="127"/>
      <c r="T44" s="166"/>
      <c r="U44" s="112"/>
      <c r="V44" s="109"/>
      <c r="W44" s="109"/>
      <c r="X44" s="109"/>
      <c r="Y44" s="109"/>
      <c r="Z44" s="109"/>
      <c r="AA44" s="127"/>
      <c r="AB44" s="166"/>
      <c r="AC44" s="108"/>
      <c r="AD44" s="109"/>
      <c r="AE44" s="109"/>
      <c r="AF44" s="109"/>
      <c r="AG44" s="109"/>
      <c r="AH44" s="134"/>
      <c r="AI44" s="436"/>
      <c r="AJ44" s="448"/>
      <c r="AK44" s="423"/>
      <c r="AL44" s="109"/>
      <c r="AM44" s="109"/>
      <c r="AN44" s="134"/>
      <c r="AO44" s="134"/>
      <c r="AP44" s="134"/>
      <c r="AQ44" s="436"/>
      <c r="AR44" s="448"/>
      <c r="AS44" s="214"/>
      <c r="AT44" s="134"/>
      <c r="AU44" s="109"/>
      <c r="AV44" s="134"/>
      <c r="AW44" s="134"/>
      <c r="AX44" s="134"/>
      <c r="AY44" s="127"/>
    </row>
    <row r="45" spans="1:53" x14ac:dyDescent="0.25">
      <c r="A45" s="98" t="s">
        <v>102</v>
      </c>
      <c r="B45" s="115"/>
      <c r="C45" s="100"/>
      <c r="D45" s="166"/>
      <c r="E45" s="135"/>
      <c r="F45" s="136"/>
      <c r="G45" s="136"/>
      <c r="H45" s="136"/>
      <c r="I45" s="136"/>
      <c r="J45" s="136"/>
      <c r="K45" s="137"/>
      <c r="L45" s="166"/>
      <c r="M45" s="108"/>
      <c r="N45" s="109"/>
      <c r="O45" s="109"/>
      <c r="P45" s="109"/>
      <c r="Q45" s="109"/>
      <c r="R45" s="109"/>
      <c r="S45" s="127"/>
      <c r="T45" s="166"/>
      <c r="U45" s="112"/>
      <c r="V45" s="109"/>
      <c r="W45" s="109"/>
      <c r="X45" s="109"/>
      <c r="Y45" s="109"/>
      <c r="Z45" s="109"/>
      <c r="AA45" s="127"/>
      <c r="AB45" s="166"/>
      <c r="AC45" s="108"/>
      <c r="AD45" s="109"/>
      <c r="AE45" s="109"/>
      <c r="AF45" s="109"/>
      <c r="AG45" s="109"/>
      <c r="AH45" s="134"/>
      <c r="AI45" s="436"/>
      <c r="AJ45" s="448"/>
      <c r="AK45" s="423"/>
      <c r="AL45" s="109"/>
      <c r="AM45" s="109"/>
      <c r="AN45" s="134"/>
      <c r="AO45" s="134"/>
      <c r="AP45" s="134"/>
      <c r="AQ45" s="436"/>
      <c r="AR45" s="448"/>
      <c r="AS45" s="214"/>
      <c r="AT45" s="134"/>
      <c r="AU45" s="109"/>
      <c r="AV45" s="134"/>
      <c r="AW45" s="134"/>
      <c r="AX45" s="134"/>
      <c r="AY45" s="127"/>
    </row>
    <row r="46" spans="1:53" x14ac:dyDescent="0.25">
      <c r="A46" s="101"/>
      <c r="B46" s="115" t="s">
        <v>103</v>
      </c>
      <c r="C46" s="100">
        <v>18</v>
      </c>
      <c r="D46" s="166"/>
      <c r="E46" s="135">
        <v>7085544</v>
      </c>
      <c r="F46" s="136">
        <v>7268826</v>
      </c>
      <c r="G46" s="136"/>
      <c r="H46" s="136">
        <v>-249000</v>
      </c>
      <c r="I46" s="136">
        <v>-286750</v>
      </c>
      <c r="J46" s="136">
        <v>-300464</v>
      </c>
      <c r="K46" s="137">
        <f>J46/F46</f>
        <v>-4.1335973649665021E-2</v>
      </c>
      <c r="L46" s="166"/>
      <c r="M46" s="108">
        <v>5325795</v>
      </c>
      <c r="N46" s="109">
        <v>8080431</v>
      </c>
      <c r="O46" s="109"/>
      <c r="P46" s="109">
        <v>0</v>
      </c>
      <c r="Q46" s="109">
        <v>-489000</v>
      </c>
      <c r="R46" s="109">
        <v>-567533</v>
      </c>
      <c r="S46" s="111">
        <v>-7.0000000000000007E-2</v>
      </c>
      <c r="T46" s="166"/>
      <c r="U46" s="112">
        <v>9352013</v>
      </c>
      <c r="V46" s="109">
        <f>5740181+908187</f>
        <v>6648368</v>
      </c>
      <c r="W46" s="109">
        <v>0</v>
      </c>
      <c r="X46" s="109">
        <v>-78000</v>
      </c>
      <c r="Y46" s="109">
        <v>-160500</v>
      </c>
      <c r="Z46" s="109">
        <v>-156781</v>
      </c>
      <c r="AA46" s="111">
        <f t="shared" ref="AA46:AA51" si="30">Z46/U46</f>
        <v>-1.676441211106101E-2</v>
      </c>
      <c r="AB46" s="166"/>
      <c r="AC46" s="108">
        <v>10662829</v>
      </c>
      <c r="AD46" s="109">
        <v>7902104</v>
      </c>
      <c r="AE46" s="109">
        <v>0</v>
      </c>
      <c r="AF46" s="109">
        <v>-210000</v>
      </c>
      <c r="AG46" s="109">
        <v>-301000</v>
      </c>
      <c r="AH46" s="134">
        <v>6654</v>
      </c>
      <c r="AI46" s="435">
        <f t="shared" si="2"/>
        <v>6.24037016817957E-4</v>
      </c>
      <c r="AJ46" s="448"/>
      <c r="AK46" s="423">
        <v>11244979</v>
      </c>
      <c r="AL46" s="109">
        <f>AK46-2595000</f>
        <v>8649979</v>
      </c>
      <c r="AM46" s="109">
        <v>0</v>
      </c>
      <c r="AN46" s="109">
        <f>Eng!$K$6</f>
        <v>-389000</v>
      </c>
      <c r="AO46" s="109">
        <f>Eng!$K$7</f>
        <v>-171000</v>
      </c>
      <c r="AP46" s="109">
        <v>-59149</v>
      </c>
      <c r="AQ46" s="435">
        <f t="shared" ref="AQ46:AQ51" si="31">AP46/AK46</f>
        <v>-5.2600365016244139E-3</v>
      </c>
      <c r="AR46" s="448"/>
      <c r="AS46" s="214">
        <f>+Eng!G5</f>
        <v>11138755.800000001</v>
      </c>
      <c r="AT46" s="134">
        <f>+Eng!G6</f>
        <v>8473283.8000000007</v>
      </c>
      <c r="AU46" s="109">
        <f>+Eng!L5</f>
        <v>-377000</v>
      </c>
      <c r="AV46" s="109">
        <f>Eng!$L$6</f>
        <v>-387000</v>
      </c>
      <c r="AW46" s="109">
        <f>Eng!$L$7</f>
        <v>-218500</v>
      </c>
      <c r="AX46" s="109">
        <f>Eng!$L$8</f>
        <v>0</v>
      </c>
      <c r="AY46" s="111">
        <f t="shared" ref="AY46:AY51" si="32">AW46/AS46</f>
        <v>-1.9616194476585976E-2</v>
      </c>
    </row>
    <row r="47" spans="1:53" x14ac:dyDescent="0.25">
      <c r="A47" s="101"/>
      <c r="B47" s="115" t="s">
        <v>105</v>
      </c>
      <c r="C47" s="100">
        <v>19</v>
      </c>
      <c r="D47" s="166"/>
      <c r="E47" s="135">
        <v>11988948</v>
      </c>
      <c r="F47" s="136">
        <v>67153251</v>
      </c>
      <c r="G47" s="136"/>
      <c r="H47" s="136">
        <v>-150000</v>
      </c>
      <c r="I47" s="136">
        <v>-100000</v>
      </c>
      <c r="J47" s="136">
        <v>-854424</v>
      </c>
      <c r="K47" s="137">
        <f>J47/F47</f>
        <v>-1.272349420581291E-2</v>
      </c>
      <c r="L47" s="166"/>
      <c r="M47" s="108">
        <v>13978938</v>
      </c>
      <c r="N47" s="109">
        <v>35612495</v>
      </c>
      <c r="O47" s="109"/>
      <c r="P47" s="109">
        <v>0</v>
      </c>
      <c r="Q47" s="109">
        <v>-100000</v>
      </c>
      <c r="R47" s="109">
        <v>718702</v>
      </c>
      <c r="S47" s="111">
        <f>R47/N47</f>
        <v>2.0181175174612168E-2</v>
      </c>
      <c r="T47" s="166"/>
      <c r="U47" s="112">
        <v>33588902</v>
      </c>
      <c r="V47" s="109">
        <v>12917971</v>
      </c>
      <c r="W47" s="109">
        <v>0</v>
      </c>
      <c r="X47" s="109">
        <v>0</v>
      </c>
      <c r="Y47" s="109">
        <v>0</v>
      </c>
      <c r="Z47" s="109">
        <v>105685</v>
      </c>
      <c r="AA47" s="111">
        <f t="shared" si="30"/>
        <v>3.1464261618316669E-3</v>
      </c>
      <c r="AB47" s="166"/>
      <c r="AC47" s="108">
        <v>35317209</v>
      </c>
      <c r="AD47" s="109">
        <v>12617291</v>
      </c>
      <c r="AE47" s="109">
        <v>0</v>
      </c>
      <c r="AF47" s="109">
        <v>-100000</v>
      </c>
      <c r="AG47" s="109">
        <v>50000</v>
      </c>
      <c r="AH47" s="134">
        <v>22690</v>
      </c>
      <c r="AI47" s="435">
        <f t="shared" si="2"/>
        <v>6.4246299870411615E-4</v>
      </c>
      <c r="AJ47" s="448"/>
      <c r="AK47" s="423">
        <v>35177037</v>
      </c>
      <c r="AL47" s="109">
        <f>35177037-22555427</f>
        <v>12621610</v>
      </c>
      <c r="AM47" s="109">
        <v>0</v>
      </c>
      <c r="AN47" s="109">
        <f>Env!$K$6</f>
        <v>140000</v>
      </c>
      <c r="AO47" s="109">
        <f>Env!$K$7</f>
        <v>-30000</v>
      </c>
      <c r="AP47" s="109">
        <v>74081</v>
      </c>
      <c r="AQ47" s="435">
        <f t="shared" si="31"/>
        <v>2.1059476953672932E-3</v>
      </c>
      <c r="AR47" s="448"/>
      <c r="AS47" s="214">
        <f>+Env!G5</f>
        <v>35678095.840000004</v>
      </c>
      <c r="AT47" s="134">
        <f>+Env!G6</f>
        <v>12861723.840000004</v>
      </c>
      <c r="AU47" s="109">
        <f>+Env!L5</f>
        <v>0</v>
      </c>
      <c r="AV47" s="109">
        <f>Env!$L$6</f>
        <v>100000</v>
      </c>
      <c r="AW47" s="109">
        <f>Env!$L$7</f>
        <v>200000</v>
      </c>
      <c r="AX47" s="109">
        <f>Env!$L$8</f>
        <v>0</v>
      </c>
      <c r="AY47" s="111">
        <f t="shared" si="32"/>
        <v>5.6056803282582357E-3</v>
      </c>
      <c r="BA47" s="95"/>
    </row>
    <row r="48" spans="1:53" x14ac:dyDescent="0.25">
      <c r="A48" s="101"/>
      <c r="B48" s="115" t="s">
        <v>107</v>
      </c>
      <c r="C48" s="100">
        <v>21</v>
      </c>
      <c r="D48" s="166"/>
      <c r="E48" s="135"/>
      <c r="F48" s="136"/>
      <c r="G48" s="136"/>
      <c r="H48" s="136"/>
      <c r="I48" s="136"/>
      <c r="J48" s="136"/>
      <c r="K48" s="137"/>
      <c r="L48" s="166"/>
      <c r="M48" s="108">
        <v>12054371</v>
      </c>
      <c r="N48" s="109">
        <v>32397435</v>
      </c>
      <c r="O48" s="109"/>
      <c r="P48" s="109"/>
      <c r="Q48" s="109">
        <v>0</v>
      </c>
      <c r="R48" s="109">
        <v>0</v>
      </c>
      <c r="S48" s="111">
        <f>R48/N48</f>
        <v>0</v>
      </c>
      <c r="T48" s="166"/>
      <c r="U48" s="112">
        <v>32252605</v>
      </c>
      <c r="V48" s="109">
        <v>9594498</v>
      </c>
      <c r="W48" s="109">
        <v>-435000</v>
      </c>
      <c r="X48" s="109">
        <v>-35000</v>
      </c>
      <c r="Y48" s="109">
        <v>-55000</v>
      </c>
      <c r="Z48" s="109">
        <v>-300486</v>
      </c>
      <c r="AA48" s="111">
        <f t="shared" si="30"/>
        <v>-9.3166427952098754E-3</v>
      </c>
      <c r="AB48" s="166"/>
      <c r="AC48" s="108">
        <v>26973162</v>
      </c>
      <c r="AD48" s="109">
        <v>10797703</v>
      </c>
      <c r="AE48" s="109">
        <v>-1000000</v>
      </c>
      <c r="AF48" s="109">
        <v>162000</v>
      </c>
      <c r="AG48" s="109">
        <v>63000</v>
      </c>
      <c r="AH48" s="134">
        <v>419513</v>
      </c>
      <c r="AI48" s="435">
        <f t="shared" si="2"/>
        <v>1.5552978178828274E-2</v>
      </c>
      <c r="AJ48" s="448"/>
      <c r="AK48" s="423">
        <v>27388577</v>
      </c>
      <c r="AL48" s="109">
        <f>27388577-15815093</f>
        <v>11573484</v>
      </c>
      <c r="AM48" s="109">
        <v>0</v>
      </c>
      <c r="AN48" s="109">
        <f>PWO!$K$6</f>
        <v>-77000</v>
      </c>
      <c r="AO48" s="109">
        <f>PWO!$K$7</f>
        <v>-25000</v>
      </c>
      <c r="AP48" s="109">
        <v>-773671</v>
      </c>
      <c r="AQ48" s="435">
        <f t="shared" si="31"/>
        <v>-2.8247944389370797E-2</v>
      </c>
      <c r="AR48" s="448"/>
      <c r="AS48" s="214">
        <f>+PWO!G5</f>
        <v>27397837</v>
      </c>
      <c r="AT48" s="134">
        <f>+PWO!G6</f>
        <v>11135228</v>
      </c>
      <c r="AU48" s="109">
        <f>+PWO!L5</f>
        <v>-530000</v>
      </c>
      <c r="AV48" s="109">
        <f>PWO!$L$6</f>
        <v>-2704000</v>
      </c>
      <c r="AW48" s="109">
        <f>PWO!$L$7</f>
        <v>-2924500</v>
      </c>
      <c r="AX48" s="109">
        <f>PWO!$L$8</f>
        <v>0</v>
      </c>
      <c r="AY48" s="111">
        <f t="shared" si="32"/>
        <v>-0.10674200302746527</v>
      </c>
      <c r="BA48" s="95"/>
    </row>
    <row r="49" spans="1:53" x14ac:dyDescent="0.25">
      <c r="A49" s="101"/>
      <c r="B49" s="115" t="s">
        <v>98</v>
      </c>
      <c r="C49" s="100">
        <v>23</v>
      </c>
      <c r="D49" s="166"/>
      <c r="E49" s="108">
        <v>1635959</v>
      </c>
      <c r="F49" s="109">
        <v>4809010</v>
      </c>
      <c r="G49" s="109"/>
      <c r="H49" s="110">
        <v>51500</v>
      </c>
      <c r="I49" s="109">
        <v>100000</v>
      </c>
      <c r="J49" s="109">
        <v>-2712</v>
      </c>
      <c r="K49" s="111">
        <f>J49/F49</f>
        <v>-5.6394143493151397E-4</v>
      </c>
      <c r="L49" s="166"/>
      <c r="M49" s="108">
        <v>418180</v>
      </c>
      <c r="N49" s="109">
        <v>4752084</v>
      </c>
      <c r="O49" s="109"/>
      <c r="P49" s="109">
        <v>0</v>
      </c>
      <c r="Q49" s="109">
        <v>0</v>
      </c>
      <c r="R49" s="109">
        <v>-2132</v>
      </c>
      <c r="S49" s="111">
        <v>0</v>
      </c>
      <c r="T49" s="166"/>
      <c r="U49" s="112">
        <v>5931346</v>
      </c>
      <c r="V49" s="109">
        <v>1597536</v>
      </c>
      <c r="W49" s="109">
        <v>0</v>
      </c>
      <c r="X49" s="109">
        <v>0</v>
      </c>
      <c r="Y49" s="109">
        <v>11000</v>
      </c>
      <c r="Z49" s="109">
        <v>-52446</v>
      </c>
      <c r="AA49" s="111">
        <f t="shared" si="30"/>
        <v>-8.8421751150582015E-3</v>
      </c>
      <c r="AB49" s="166"/>
      <c r="AC49" s="108">
        <v>5874107</v>
      </c>
      <c r="AD49" s="109">
        <v>2041106</v>
      </c>
      <c r="AE49" s="109">
        <v>0</v>
      </c>
      <c r="AF49" s="109">
        <v>85000</v>
      </c>
      <c r="AG49" s="109">
        <v>142000</v>
      </c>
      <c r="AH49" s="134">
        <v>199506</v>
      </c>
      <c r="AI49" s="435">
        <f>AH49/AC49</f>
        <v>3.3963630556951042E-2</v>
      </c>
      <c r="AJ49" s="448"/>
      <c r="AK49" s="423">
        <v>5884847</v>
      </c>
      <c r="AL49" s="109">
        <f>AK49-3738462</f>
        <v>2146385</v>
      </c>
      <c r="AM49" s="109">
        <v>0</v>
      </c>
      <c r="AN49" s="109">
        <f>Build!$K$6</f>
        <v>0</v>
      </c>
      <c r="AO49" s="109">
        <f>Build!$K$7</f>
        <v>32300</v>
      </c>
      <c r="AP49" s="109">
        <v>105476</v>
      </c>
      <c r="AQ49" s="435">
        <f t="shared" si="31"/>
        <v>1.7923320691260111E-2</v>
      </c>
      <c r="AR49" s="448"/>
      <c r="AS49" s="214">
        <f>+Build!G5</f>
        <v>5760682</v>
      </c>
      <c r="AT49" s="134">
        <f>+Build!G6</f>
        <v>2008371</v>
      </c>
      <c r="AU49" s="109">
        <f>+Build!L5</f>
        <v>0</v>
      </c>
      <c r="AV49" s="109">
        <f>Build!$L$6</f>
        <v>38200</v>
      </c>
      <c r="AW49" s="109">
        <f>Build!$L$7</f>
        <v>13000</v>
      </c>
      <c r="AX49" s="109">
        <f>Build!$L$8</f>
        <v>0</v>
      </c>
      <c r="AY49" s="111">
        <f t="shared" si="32"/>
        <v>2.2566772475897819E-3</v>
      </c>
    </row>
    <row r="50" spans="1:53" x14ac:dyDescent="0.25">
      <c r="A50" s="101"/>
      <c r="B50" s="115" t="s">
        <v>109</v>
      </c>
      <c r="C50" s="100">
        <v>24</v>
      </c>
      <c r="D50" s="166"/>
      <c r="E50" s="135">
        <v>16200386</v>
      </c>
      <c r="F50" s="136">
        <v>23857293</v>
      </c>
      <c r="G50" s="136"/>
      <c r="H50" s="136">
        <v>-410000</v>
      </c>
      <c r="I50" s="136">
        <v>-870000</v>
      </c>
      <c r="J50" s="136">
        <v>-1374876</v>
      </c>
      <c r="K50" s="137">
        <f>J50/F50</f>
        <v>-5.7629170249952497E-2</v>
      </c>
      <c r="L50" s="166"/>
      <c r="M50" s="108">
        <v>15250685</v>
      </c>
      <c r="N50" s="109">
        <v>24099885</v>
      </c>
      <c r="O50" s="109"/>
      <c r="P50" s="109">
        <v>0</v>
      </c>
      <c r="Q50" s="109">
        <v>0</v>
      </c>
      <c r="R50" s="109">
        <v>-655275</v>
      </c>
      <c r="S50" s="111">
        <v>-2.7E-2</v>
      </c>
      <c r="T50" s="166"/>
      <c r="U50" s="112">
        <v>24697116</v>
      </c>
      <c r="V50" s="109">
        <v>15156185</v>
      </c>
      <c r="W50" s="109">
        <v>0</v>
      </c>
      <c r="X50" s="109">
        <v>0</v>
      </c>
      <c r="Y50" s="109">
        <v>-300000</v>
      </c>
      <c r="Z50" s="109">
        <v>-1129876</v>
      </c>
      <c r="AA50" s="111">
        <f t="shared" si="30"/>
        <v>-4.5749309352557603E-2</v>
      </c>
      <c r="AB50" s="166"/>
      <c r="AC50" s="108">
        <v>26191801</v>
      </c>
      <c r="AD50" s="109">
        <v>17425825</v>
      </c>
      <c r="AE50" s="109">
        <v>-110000</v>
      </c>
      <c r="AF50" s="109">
        <v>-81000</v>
      </c>
      <c r="AG50" s="109">
        <v>-255000</v>
      </c>
      <c r="AH50" s="134">
        <v>-34284</v>
      </c>
      <c r="AI50" s="435">
        <f t="shared" si="2"/>
        <v>-1.3089592426271106E-3</v>
      </c>
      <c r="AJ50" s="448"/>
      <c r="AK50" s="423">
        <v>28715531</v>
      </c>
      <c r="AL50" s="109">
        <f>AK50-9218116</f>
        <v>19497415</v>
      </c>
      <c r="AM50" s="109">
        <v>0</v>
      </c>
      <c r="AN50" s="109">
        <f>PFO!$K$6</f>
        <v>0</v>
      </c>
      <c r="AO50" s="109">
        <f>PFO!$K$7</f>
        <v>-191000</v>
      </c>
      <c r="AP50" s="109">
        <v>577574</v>
      </c>
      <c r="AQ50" s="435">
        <f t="shared" si="31"/>
        <v>2.0113645121171538E-2</v>
      </c>
      <c r="AR50" s="448"/>
      <c r="AS50" s="214">
        <f>+PFO!G5</f>
        <v>34567496</v>
      </c>
      <c r="AT50" s="134">
        <f>+PFO!G6</f>
        <v>21804641</v>
      </c>
      <c r="AU50" s="109">
        <f>+PFO!L5</f>
        <v>0</v>
      </c>
      <c r="AV50" s="109">
        <f>PFO!$L$6</f>
        <v>-315000</v>
      </c>
      <c r="AW50" s="109">
        <f>PFO!$L$7</f>
        <v>-249500</v>
      </c>
      <c r="AX50" s="109">
        <f>PFO!$L$8</f>
        <v>0</v>
      </c>
      <c r="AY50" s="111">
        <f t="shared" si="32"/>
        <v>-7.2177631842352714E-3</v>
      </c>
      <c r="BA50" s="95"/>
    </row>
    <row r="51" spans="1:53" s="125" customFormat="1" x14ac:dyDescent="0.25">
      <c r="A51" s="116" t="s">
        <v>111</v>
      </c>
      <c r="B51" s="117"/>
      <c r="C51" s="118"/>
      <c r="D51" s="166"/>
      <c r="E51" s="119">
        <f t="shared" ref="E51:J51" si="33">SUM(E46:E50)</f>
        <v>36910837</v>
      </c>
      <c r="F51" s="120">
        <f t="shared" si="33"/>
        <v>103088380</v>
      </c>
      <c r="G51" s="120">
        <f t="shared" si="33"/>
        <v>0</v>
      </c>
      <c r="H51" s="120">
        <f t="shared" si="33"/>
        <v>-757500</v>
      </c>
      <c r="I51" s="120">
        <f t="shared" si="33"/>
        <v>-1156750</v>
      </c>
      <c r="J51" s="120">
        <f t="shared" si="33"/>
        <v>-2532476</v>
      </c>
      <c r="K51" s="122">
        <f>J51/F51</f>
        <v>-2.456606651496512E-2</v>
      </c>
      <c r="L51" s="355"/>
      <c r="M51" s="119">
        <f>SUM(M46:M50)</f>
        <v>47027969</v>
      </c>
      <c r="N51" s="120">
        <f>SUM(N46:N50)</f>
        <v>104942330</v>
      </c>
      <c r="O51" s="120">
        <f>SUM(O46:O50)</f>
        <v>0</v>
      </c>
      <c r="P51" s="120"/>
      <c r="Q51" s="120">
        <f>SUM(Q46:Q50)</f>
        <v>-589000</v>
      </c>
      <c r="R51" s="120">
        <f>SUM(R46:R50)</f>
        <v>-506238</v>
      </c>
      <c r="S51" s="122">
        <f>R51/N51</f>
        <v>-4.8239637903980219E-3</v>
      </c>
      <c r="T51" s="355"/>
      <c r="U51" s="124">
        <f t="shared" ref="U51:Z51" si="34">SUM(U46:U50)</f>
        <v>105821982</v>
      </c>
      <c r="V51" s="120">
        <f>SUM(V46:V50)</f>
        <v>45914558</v>
      </c>
      <c r="W51" s="120">
        <f t="shared" si="34"/>
        <v>-435000</v>
      </c>
      <c r="X51" s="120">
        <f t="shared" si="34"/>
        <v>-113000</v>
      </c>
      <c r="Y51" s="120">
        <f t="shared" si="34"/>
        <v>-504500</v>
      </c>
      <c r="Z51" s="120">
        <f t="shared" si="34"/>
        <v>-1533904</v>
      </c>
      <c r="AA51" s="122">
        <f t="shared" si="30"/>
        <v>-1.4495135802691732E-2</v>
      </c>
      <c r="AB51" s="355"/>
      <c r="AC51" s="119">
        <v>99145001</v>
      </c>
      <c r="AD51" s="120">
        <v>48742923</v>
      </c>
      <c r="AE51" s="120">
        <v>-1110000</v>
      </c>
      <c r="AF51" s="120">
        <v>-229000</v>
      </c>
      <c r="AG51" s="120">
        <v>-443000</v>
      </c>
      <c r="AH51" s="133">
        <v>414573</v>
      </c>
      <c r="AI51" s="354">
        <f t="shared" si="2"/>
        <v>4.1814816260882385E-3</v>
      </c>
      <c r="AJ51" s="449"/>
      <c r="AK51" s="154">
        <f t="shared" ref="AK51:AO51" si="35">SUM(AK46:AK50)</f>
        <v>108410971</v>
      </c>
      <c r="AL51" s="120">
        <f t="shared" si="35"/>
        <v>54488873</v>
      </c>
      <c r="AM51" s="120">
        <f t="shared" si="35"/>
        <v>0</v>
      </c>
      <c r="AN51" s="133">
        <f t="shared" si="35"/>
        <v>-326000</v>
      </c>
      <c r="AO51" s="133">
        <f t="shared" si="35"/>
        <v>-384700</v>
      </c>
      <c r="AP51" s="133">
        <v>-181165</v>
      </c>
      <c r="AQ51" s="354">
        <f t="shared" si="31"/>
        <v>-1.6710947086711362E-3</v>
      </c>
      <c r="AR51" s="449"/>
      <c r="AS51" s="215">
        <f t="shared" ref="AS51:AX51" si="36">SUM(AS46:AS50)</f>
        <v>114542866.64</v>
      </c>
      <c r="AT51" s="133">
        <f t="shared" si="36"/>
        <v>56283247.640000001</v>
      </c>
      <c r="AU51" s="120">
        <f t="shared" si="36"/>
        <v>-907000</v>
      </c>
      <c r="AV51" s="133">
        <f t="shared" si="36"/>
        <v>-3267800</v>
      </c>
      <c r="AW51" s="133">
        <f t="shared" si="36"/>
        <v>-3179500</v>
      </c>
      <c r="AX51" s="133">
        <f t="shared" si="36"/>
        <v>0</v>
      </c>
      <c r="AY51" s="122">
        <f t="shared" si="32"/>
        <v>-2.7758166817955936E-2</v>
      </c>
      <c r="AZ51" s="97"/>
      <c r="BA51" s="95"/>
    </row>
    <row r="52" spans="1:53" ht="6.75" customHeight="1" x14ac:dyDescent="0.25">
      <c r="A52" s="101"/>
      <c r="B52" s="115"/>
      <c r="C52" s="100"/>
      <c r="D52" s="166"/>
      <c r="E52" s="135"/>
      <c r="F52" s="136"/>
      <c r="G52" s="136"/>
      <c r="H52" s="136"/>
      <c r="I52" s="136"/>
      <c r="J52" s="136"/>
      <c r="K52" s="137"/>
      <c r="L52" s="166"/>
      <c r="M52" s="108"/>
      <c r="N52" s="109"/>
      <c r="O52" s="109"/>
      <c r="P52" s="109"/>
      <c r="Q52" s="109"/>
      <c r="R52" s="109"/>
      <c r="S52" s="127"/>
      <c r="T52" s="166"/>
      <c r="U52" s="112"/>
      <c r="V52" s="109"/>
      <c r="W52" s="109"/>
      <c r="X52" s="109"/>
      <c r="Y52" s="109"/>
      <c r="Z52" s="109"/>
      <c r="AA52" s="127"/>
      <c r="AB52" s="166"/>
      <c r="AC52" s="108"/>
      <c r="AD52" s="109"/>
      <c r="AE52" s="109"/>
      <c r="AF52" s="109"/>
      <c r="AG52" s="109"/>
      <c r="AH52" s="134"/>
      <c r="AI52" s="436"/>
      <c r="AJ52" s="448"/>
      <c r="AK52" s="423"/>
      <c r="AL52" s="109"/>
      <c r="AM52" s="109"/>
      <c r="AN52" s="134"/>
      <c r="AO52" s="134"/>
      <c r="AP52" s="134"/>
      <c r="AQ52" s="436"/>
      <c r="AR52" s="448"/>
      <c r="AS52" s="214"/>
      <c r="AT52" s="134"/>
      <c r="AU52" s="109"/>
      <c r="AV52" s="134"/>
      <c r="AW52" s="134"/>
      <c r="AX52" s="134"/>
      <c r="AY52" s="127"/>
      <c r="AZ52" s="95"/>
      <c r="BA52" s="95"/>
    </row>
    <row r="53" spans="1:53" x14ac:dyDescent="0.25">
      <c r="A53" s="98" t="s">
        <v>112</v>
      </c>
      <c r="B53" s="115"/>
      <c r="C53" s="100"/>
      <c r="D53" s="166"/>
      <c r="E53" s="135"/>
      <c r="F53" s="136"/>
      <c r="G53" s="136"/>
      <c r="H53" s="136"/>
      <c r="I53" s="136"/>
      <c r="J53" s="136"/>
      <c r="K53" s="137"/>
      <c r="L53" s="166"/>
      <c r="M53" s="108"/>
      <c r="N53" s="109"/>
      <c r="O53" s="109"/>
      <c r="P53" s="109"/>
      <c r="Q53" s="109"/>
      <c r="R53" s="109"/>
      <c r="S53" s="127"/>
      <c r="T53" s="166"/>
      <c r="U53" s="112"/>
      <c r="V53" s="109"/>
      <c r="W53" s="109"/>
      <c r="X53" s="109"/>
      <c r="Y53" s="109"/>
      <c r="Z53" s="109"/>
      <c r="AA53" s="127"/>
      <c r="AB53" s="166"/>
      <c r="AC53" s="108"/>
      <c r="AD53" s="109"/>
      <c r="AE53" s="109"/>
      <c r="AF53" s="109"/>
      <c r="AG53" s="109"/>
      <c r="AH53" s="134"/>
      <c r="AI53" s="436"/>
      <c r="AJ53" s="448"/>
      <c r="AK53" s="423"/>
      <c r="AL53" s="109"/>
      <c r="AM53" s="109"/>
      <c r="AN53" s="134"/>
      <c r="AO53" s="134"/>
      <c r="AP53" s="134"/>
      <c r="AQ53" s="436"/>
      <c r="AR53" s="448"/>
      <c r="AS53" s="214"/>
      <c r="AT53" s="134"/>
      <c r="AU53" s="109"/>
      <c r="AV53" s="134"/>
      <c r="AW53" s="134"/>
      <c r="AX53" s="134"/>
      <c r="AY53" s="127"/>
      <c r="AZ53" s="95"/>
      <c r="BA53" s="95"/>
    </row>
    <row r="54" spans="1:53" x14ac:dyDescent="0.25">
      <c r="A54" s="101"/>
      <c r="B54" s="115" t="s">
        <v>113</v>
      </c>
      <c r="C54" s="100" t="s">
        <v>274</v>
      </c>
      <c r="D54" s="166"/>
      <c r="E54" s="135">
        <v>0</v>
      </c>
      <c r="F54" s="136"/>
      <c r="G54" s="136"/>
      <c r="H54" s="136"/>
      <c r="I54" s="136">
        <v>0</v>
      </c>
      <c r="J54" s="136">
        <v>0</v>
      </c>
      <c r="K54" s="137">
        <v>0</v>
      </c>
      <c r="L54" s="166"/>
      <c r="M54" s="108">
        <v>0</v>
      </c>
      <c r="N54" s="109"/>
      <c r="O54" s="109"/>
      <c r="P54" s="109"/>
      <c r="Q54" s="109">
        <v>-470000</v>
      </c>
      <c r="R54" s="109">
        <v>0</v>
      </c>
      <c r="S54" s="111">
        <v>0</v>
      </c>
      <c r="T54" s="166"/>
      <c r="U54" s="112">
        <v>636991</v>
      </c>
      <c r="V54" s="109">
        <v>249153</v>
      </c>
      <c r="W54" s="109">
        <v>0</v>
      </c>
      <c r="X54" s="109">
        <v>0</v>
      </c>
      <c r="Y54" s="109">
        <v>0</v>
      </c>
      <c r="Z54" s="109">
        <v>67089</v>
      </c>
      <c r="AA54" s="111">
        <f>Z54/U54</f>
        <v>0.10532173923964389</v>
      </c>
      <c r="AB54" s="166"/>
      <c r="AC54" s="108">
        <v>522603</v>
      </c>
      <c r="AD54" s="109">
        <v>89358</v>
      </c>
      <c r="AE54" s="109">
        <v>0</v>
      </c>
      <c r="AF54" s="109">
        <v>0</v>
      </c>
      <c r="AG54" s="109">
        <v>0</v>
      </c>
      <c r="AH54" s="134">
        <v>-8870</v>
      </c>
      <c r="AI54" s="435">
        <f t="shared" si="2"/>
        <v>-1.6972730734419818E-2</v>
      </c>
      <c r="AJ54" s="448"/>
      <c r="AK54" s="423">
        <v>660188</v>
      </c>
      <c r="AL54" s="109">
        <f>AK54-567348</f>
        <v>92840</v>
      </c>
      <c r="AM54" s="109">
        <v>0</v>
      </c>
      <c r="AN54" s="109">
        <f>CDO!$K$6</f>
        <v>0</v>
      </c>
      <c r="AO54" s="109">
        <f>CDO!$K$7</f>
        <v>0</v>
      </c>
      <c r="AP54" s="109">
        <v>1828</v>
      </c>
      <c r="AQ54" s="435">
        <f t="shared" ref="AQ54:AQ60" si="37">AP54/AK54</f>
        <v>2.7689082503771652E-3</v>
      </c>
      <c r="AR54" s="448"/>
      <c r="AS54" s="214">
        <f>+CDO!G5</f>
        <v>0</v>
      </c>
      <c r="AT54" s="134">
        <f>+CDO!G6</f>
        <v>0</v>
      </c>
      <c r="AU54" s="109">
        <f>+CDO!L5</f>
        <v>0</v>
      </c>
      <c r="AV54" s="109">
        <f>CDO!$L$6</f>
        <v>0</v>
      </c>
      <c r="AW54" s="109">
        <f>CDO!$L$7</f>
        <v>0</v>
      </c>
      <c r="AX54" s="109">
        <f>CDO!$L$8</f>
        <v>0</v>
      </c>
      <c r="AY54" s="111">
        <v>0</v>
      </c>
      <c r="BA54" s="95"/>
    </row>
    <row r="55" spans="1:53" x14ac:dyDescent="0.25">
      <c r="A55" s="101"/>
      <c r="B55" s="115" t="s">
        <v>115</v>
      </c>
      <c r="C55" s="100">
        <v>26</v>
      </c>
      <c r="D55" s="166"/>
      <c r="E55" s="135">
        <v>18928063</v>
      </c>
      <c r="F55" s="136">
        <v>115284829</v>
      </c>
      <c r="G55" s="136"/>
      <c r="H55" s="136">
        <v>897000</v>
      </c>
      <c r="I55" s="136">
        <v>656000</v>
      </c>
      <c r="J55" s="136">
        <v>803957</v>
      </c>
      <c r="K55" s="137">
        <f t="shared" ref="K55:K60" si="38">J55/F55</f>
        <v>6.9736582599259442E-3</v>
      </c>
      <c r="L55" s="166"/>
      <c r="M55" s="108">
        <v>28512825</v>
      </c>
      <c r="N55" s="109">
        <v>116768518</v>
      </c>
      <c r="O55" s="109"/>
      <c r="P55" s="109">
        <v>0</v>
      </c>
      <c r="Q55" s="109">
        <v>526000</v>
      </c>
      <c r="R55" s="109">
        <v>-772867</v>
      </c>
      <c r="S55" s="111">
        <v>-7.0000000000000001E-3</v>
      </c>
      <c r="T55" s="166"/>
      <c r="U55" s="112">
        <v>124724006</v>
      </c>
      <c r="V55" s="109">
        <v>24475025</v>
      </c>
      <c r="W55" s="109">
        <v>0</v>
      </c>
      <c r="X55" s="109">
        <v>459000</v>
      </c>
      <c r="Y55" s="109">
        <v>904000</v>
      </c>
      <c r="Z55" s="109">
        <v>2031567</v>
      </c>
      <c r="AA55" s="111">
        <f>Z55/U55</f>
        <v>1.6288500226652437E-2</v>
      </c>
      <c r="AB55" s="166"/>
      <c r="AC55" s="108">
        <v>119581320</v>
      </c>
      <c r="AD55" s="109">
        <v>17964834</v>
      </c>
      <c r="AE55" s="109">
        <v>0</v>
      </c>
      <c r="AF55" s="109">
        <v>898000</v>
      </c>
      <c r="AG55" s="109">
        <v>711000</v>
      </c>
      <c r="AH55" s="134">
        <v>1170187</v>
      </c>
      <c r="AI55" s="435">
        <f t="shared" si="2"/>
        <v>9.7857006428763282E-3</v>
      </c>
      <c r="AJ55" s="448"/>
      <c r="AK55" s="423">
        <v>117309462</v>
      </c>
      <c r="AL55" s="109">
        <f>AK55-101347964</f>
        <v>15961498</v>
      </c>
      <c r="AM55" s="109">
        <v>0</v>
      </c>
      <c r="AN55" s="109">
        <f>ESS!$K$6</f>
        <v>937000</v>
      </c>
      <c r="AO55" s="109">
        <f>ESS!$K$7</f>
        <v>1160000</v>
      </c>
      <c r="AP55" s="109">
        <v>1680487</v>
      </c>
      <c r="AQ55" s="435">
        <f t="shared" si="37"/>
        <v>1.432524684155486E-2</v>
      </c>
      <c r="AR55" s="448"/>
      <c r="AS55" s="214">
        <f>+ESS!G5</f>
        <v>117277253.5</v>
      </c>
      <c r="AT55" s="134">
        <f>+ESS!G6</f>
        <v>14373132.5</v>
      </c>
      <c r="AU55" s="109">
        <f>+ESS!L5</f>
        <v>380000</v>
      </c>
      <c r="AV55" s="109">
        <f>ESS!$L$6</f>
        <v>997000</v>
      </c>
      <c r="AW55" s="109">
        <f>ESS!$L$7</f>
        <v>1162000</v>
      </c>
      <c r="AX55" s="109">
        <f>ESS!$L$8</f>
        <v>0</v>
      </c>
      <c r="AY55" s="111">
        <f t="shared" ref="AY55:AY60" si="39">AW55/AS55</f>
        <v>9.9081447196407955E-3</v>
      </c>
      <c r="BA55" s="95"/>
    </row>
    <row r="56" spans="1:53" x14ac:dyDescent="0.25">
      <c r="A56" s="101"/>
      <c r="B56" s="115" t="s">
        <v>116</v>
      </c>
      <c r="C56" s="100">
        <v>28</v>
      </c>
      <c r="D56" s="166"/>
      <c r="E56" s="135">
        <v>21385512</v>
      </c>
      <c r="F56" s="136">
        <v>81018998</v>
      </c>
      <c r="G56" s="136"/>
      <c r="H56" s="136">
        <v>-62000</v>
      </c>
      <c r="I56" s="136">
        <v>151000</v>
      </c>
      <c r="J56" s="136">
        <v>379407</v>
      </c>
      <c r="K56" s="137">
        <f t="shared" si="38"/>
        <v>4.6829386855660694E-3</v>
      </c>
      <c r="L56" s="166"/>
      <c r="M56" s="108">
        <v>21682505</v>
      </c>
      <c r="N56" s="109">
        <v>83925339</v>
      </c>
      <c r="O56" s="109"/>
      <c r="P56" s="109">
        <v>0</v>
      </c>
      <c r="Q56" s="109">
        <v>-340000</v>
      </c>
      <c r="R56" s="109">
        <v>496418</v>
      </c>
      <c r="S56" s="111">
        <v>6.0000000000000001E-3</v>
      </c>
      <c r="T56" s="166"/>
      <c r="U56" s="112">
        <v>78859452</v>
      </c>
      <c r="V56" s="109">
        <v>21167925</v>
      </c>
      <c r="W56" s="109">
        <v>0</v>
      </c>
      <c r="X56" s="109">
        <v>0</v>
      </c>
      <c r="Y56" s="109">
        <v>258000</v>
      </c>
      <c r="Z56" s="109">
        <v>639313</v>
      </c>
      <c r="AA56" s="111">
        <f>Z56/U56</f>
        <v>8.1069926785694631E-3</v>
      </c>
      <c r="AB56" s="166"/>
      <c r="AC56" s="108">
        <v>90747778</v>
      </c>
      <c r="AD56" s="109">
        <v>21201530</v>
      </c>
      <c r="AE56" s="109">
        <v>-275000</v>
      </c>
      <c r="AF56" s="109">
        <v>0</v>
      </c>
      <c r="AG56" s="109">
        <v>251000</v>
      </c>
      <c r="AH56" s="134">
        <v>467549</v>
      </c>
      <c r="AI56" s="435">
        <f t="shared" si="2"/>
        <v>5.152181246795927E-3</v>
      </c>
      <c r="AJ56" s="448"/>
      <c r="AK56" s="423">
        <v>89197605</v>
      </c>
      <c r="AL56" s="109">
        <f>AK56-68046759</f>
        <v>21150846</v>
      </c>
      <c r="AM56" s="109">
        <v>0</v>
      </c>
      <c r="AN56" s="109">
        <f>HCS!$K$6</f>
        <v>247000</v>
      </c>
      <c r="AO56" s="109">
        <f>HCS!$K$7</f>
        <v>1013000</v>
      </c>
      <c r="AP56" s="109">
        <v>1241539</v>
      </c>
      <c r="AQ56" s="435">
        <f t="shared" si="37"/>
        <v>1.391897237599597E-2</v>
      </c>
      <c r="AR56" s="448"/>
      <c r="AS56" s="214">
        <f>+HCS!G5</f>
        <v>87388447.739999995</v>
      </c>
      <c r="AT56" s="134">
        <f>+HCS!G6</f>
        <v>21184757.739999995</v>
      </c>
      <c r="AU56" s="109">
        <f>+HCS!L5</f>
        <v>0</v>
      </c>
      <c r="AV56" s="109">
        <f>HCS!$L$6</f>
        <v>191000</v>
      </c>
      <c r="AW56" s="109">
        <f>HCS!$L$7</f>
        <v>359000</v>
      </c>
      <c r="AX56" s="109">
        <f>HCS!$L$8</f>
        <v>0</v>
      </c>
      <c r="AY56" s="111">
        <f t="shared" si="39"/>
        <v>4.1080944825579759E-3</v>
      </c>
      <c r="BA56" s="95"/>
    </row>
    <row r="57" spans="1:53" x14ac:dyDescent="0.25">
      <c r="A57" s="101"/>
      <c r="B57" s="115" t="s">
        <v>187</v>
      </c>
      <c r="C57" s="100">
        <v>29</v>
      </c>
      <c r="D57" s="166"/>
      <c r="E57" s="135">
        <v>8244298</v>
      </c>
      <c r="F57" s="136">
        <v>19385351</v>
      </c>
      <c r="G57" s="136"/>
      <c r="H57" s="136">
        <v>0</v>
      </c>
      <c r="I57" s="136">
        <v>0</v>
      </c>
      <c r="J57" s="136">
        <v>7267</v>
      </c>
      <c r="K57" s="137">
        <f t="shared" si="38"/>
        <v>3.7487069488708252E-4</v>
      </c>
      <c r="L57" s="166"/>
      <c r="M57" s="108">
        <v>8385537</v>
      </c>
      <c r="N57" s="109">
        <v>20435932</v>
      </c>
      <c r="O57" s="109"/>
      <c r="P57" s="109">
        <v>0</v>
      </c>
      <c r="Q57" s="109">
        <v>57232</v>
      </c>
      <c r="R57" s="109">
        <v>212034</v>
      </c>
      <c r="S57" s="111">
        <v>0.01</v>
      </c>
      <c r="T57" s="166"/>
      <c r="U57" s="112">
        <v>20856795</v>
      </c>
      <c r="V57" s="109">
        <v>8451400</v>
      </c>
      <c r="W57" s="109">
        <v>0</v>
      </c>
      <c r="X57" s="109">
        <v>0</v>
      </c>
      <c r="Y57" s="109">
        <v>0</v>
      </c>
      <c r="Z57" s="109">
        <v>4676</v>
      </c>
      <c r="AA57" s="111">
        <f>Z57/U57</f>
        <v>2.2419551997322694E-4</v>
      </c>
      <c r="AB57" s="166"/>
      <c r="AC57" s="108">
        <v>20720557</v>
      </c>
      <c r="AD57" s="109">
        <v>7365162</v>
      </c>
      <c r="AE57" s="109">
        <v>0</v>
      </c>
      <c r="AF57" s="109">
        <v>0</v>
      </c>
      <c r="AG57" s="109">
        <v>0</v>
      </c>
      <c r="AH57" s="134">
        <v>-121759</v>
      </c>
      <c r="AI57" s="435">
        <f t="shared" si="2"/>
        <v>-5.8762416473649819E-3</v>
      </c>
      <c r="AJ57" s="448"/>
      <c r="AK57" s="423">
        <v>21713302</v>
      </c>
      <c r="AL57" s="109">
        <f>AK57-13915395</f>
        <v>7797907</v>
      </c>
      <c r="AM57" s="109">
        <v>0</v>
      </c>
      <c r="AN57" s="109">
        <f>HL!$K$6</f>
        <v>-258000</v>
      </c>
      <c r="AO57" s="109">
        <f>HL!$K$7</f>
        <v>-233000</v>
      </c>
      <c r="AP57" s="109">
        <v>-106857</v>
      </c>
      <c r="AQ57" s="435">
        <f t="shared" si="37"/>
        <v>-4.921268999067945E-3</v>
      </c>
      <c r="AR57" s="448"/>
      <c r="AS57" s="214">
        <f>+HL!G5</f>
        <v>21876229</v>
      </c>
      <c r="AT57" s="134">
        <f>+HL!G6</f>
        <v>7483874</v>
      </c>
      <c r="AU57" s="109">
        <f>+HL!L5</f>
        <v>0</v>
      </c>
      <c r="AV57" s="109">
        <f>HL!$L$6</f>
        <v>-182000</v>
      </c>
      <c r="AW57" s="109">
        <f>HL!$L$7</f>
        <v>-23000</v>
      </c>
      <c r="AX57" s="109">
        <f>HL!$L$8</f>
        <v>0</v>
      </c>
      <c r="AY57" s="111">
        <f t="shared" si="39"/>
        <v>-1.0513695024860089E-3</v>
      </c>
      <c r="BA57" s="95"/>
    </row>
    <row r="58" spans="1:53" s="131" customFormat="1" hidden="1" outlineLevel="1" x14ac:dyDescent="0.25">
      <c r="A58" s="129"/>
      <c r="B58" s="224" t="s">
        <v>119</v>
      </c>
      <c r="C58" s="225"/>
      <c r="D58" s="433"/>
      <c r="E58" s="227">
        <v>0</v>
      </c>
      <c r="F58" s="228">
        <v>0</v>
      </c>
      <c r="G58" s="228">
        <v>0</v>
      </c>
      <c r="H58" s="229">
        <v>0</v>
      </c>
      <c r="I58" s="228">
        <v>0</v>
      </c>
      <c r="J58" s="228">
        <v>0</v>
      </c>
      <c r="K58" s="230" t="e">
        <f t="shared" si="38"/>
        <v>#DIV/0!</v>
      </c>
      <c r="L58" s="433"/>
      <c r="M58" s="227">
        <v>0</v>
      </c>
      <c r="N58" s="228"/>
      <c r="O58" s="228"/>
      <c r="P58" s="228">
        <v>0</v>
      </c>
      <c r="Q58" s="228">
        <v>0</v>
      </c>
      <c r="R58" s="228">
        <v>57232</v>
      </c>
      <c r="S58" s="230">
        <v>0.124</v>
      </c>
      <c r="T58" s="433"/>
      <c r="U58" s="231"/>
      <c r="V58" s="228"/>
      <c r="W58" s="228"/>
      <c r="X58" s="228"/>
      <c r="Y58" s="228"/>
      <c r="Z58" s="228"/>
      <c r="AA58" s="230">
        <v>0</v>
      </c>
      <c r="AB58" s="433"/>
      <c r="AC58" s="227"/>
      <c r="AD58" s="228"/>
      <c r="AE58" s="228"/>
      <c r="AF58" s="228"/>
      <c r="AG58" s="228"/>
      <c r="AH58" s="228"/>
      <c r="AI58" s="420"/>
      <c r="AJ58" s="450"/>
      <c r="AK58" s="424"/>
      <c r="AL58" s="227"/>
      <c r="AM58" s="228">
        <v>0</v>
      </c>
      <c r="AN58" s="228"/>
      <c r="AO58" s="228">
        <f>Myr!$K$7</f>
        <v>0</v>
      </c>
      <c r="AP58" s="228"/>
      <c r="AQ58" s="229"/>
      <c r="AR58" s="453"/>
      <c r="AS58" s="421"/>
      <c r="AT58" s="228"/>
      <c r="AU58" s="229"/>
      <c r="AV58" s="228"/>
      <c r="AW58" s="228">
        <f>Myr!$L$7</f>
        <v>0</v>
      </c>
      <c r="AX58" s="228">
        <f>Myr!$L$8</f>
        <v>0</v>
      </c>
      <c r="AY58" s="422" t="e">
        <f t="shared" si="39"/>
        <v>#DIV/0!</v>
      </c>
      <c r="AZ58" s="130"/>
      <c r="BA58" s="130"/>
    </row>
    <row r="59" spans="1:53" collapsed="1" x14ac:dyDescent="0.25">
      <c r="A59" s="101"/>
      <c r="B59" s="115" t="s">
        <v>120</v>
      </c>
      <c r="C59" s="100">
        <v>31</v>
      </c>
      <c r="D59" s="166"/>
      <c r="E59" s="108">
        <v>8802986</v>
      </c>
      <c r="F59" s="109">
        <v>15211879</v>
      </c>
      <c r="G59" s="109"/>
      <c r="H59" s="109">
        <v>-351000</v>
      </c>
      <c r="I59" s="109">
        <v>-450000</v>
      </c>
      <c r="J59" s="109">
        <v>-2836</v>
      </c>
      <c r="K59" s="111">
        <f t="shared" si="38"/>
        <v>-1.8643324733256161E-4</v>
      </c>
      <c r="L59" s="166"/>
      <c r="M59" s="108">
        <f>6331807+435113</f>
        <v>6766920</v>
      </c>
      <c r="N59" s="109">
        <v>16627353</v>
      </c>
      <c r="O59" s="109"/>
      <c r="P59" s="109">
        <v>0</v>
      </c>
      <c r="Q59" s="109">
        <v>-226768</v>
      </c>
      <c r="R59" s="109">
        <v>-1543067</v>
      </c>
      <c r="S59" s="111">
        <v>-9.2999999999999999E-2</v>
      </c>
      <c r="T59" s="166"/>
      <c r="U59" s="112">
        <v>16959512</v>
      </c>
      <c r="V59" s="109">
        <v>6880611</v>
      </c>
      <c r="W59" s="109">
        <v>-425000</v>
      </c>
      <c r="X59" s="109">
        <v>-375000</v>
      </c>
      <c r="Y59" s="109">
        <v>-450000</v>
      </c>
      <c r="Z59" s="109">
        <v>-886923</v>
      </c>
      <c r="AA59" s="111">
        <f>Z59/U59</f>
        <v>-5.2296492965127769E-2</v>
      </c>
      <c r="AB59" s="166"/>
      <c r="AC59" s="108">
        <v>17550521</v>
      </c>
      <c r="AD59" s="109">
        <v>8782731</v>
      </c>
      <c r="AE59" s="109">
        <v>0</v>
      </c>
      <c r="AF59" s="109">
        <v>-340000</v>
      </c>
      <c r="AG59" s="109">
        <v>-230000</v>
      </c>
      <c r="AH59" s="134">
        <v>-160597</v>
      </c>
      <c r="AI59" s="435">
        <f t="shared" si="2"/>
        <v>-9.1505545618845163E-3</v>
      </c>
      <c r="AJ59" s="448"/>
      <c r="AK59" s="423">
        <v>17633739</v>
      </c>
      <c r="AL59" s="109">
        <f>AK59-8589072</f>
        <v>9044667</v>
      </c>
      <c r="AM59" s="109">
        <v>0</v>
      </c>
      <c r="AN59" s="109">
        <f>'RC'!$K$6</f>
        <v>-150000</v>
      </c>
      <c r="AO59" s="109">
        <f>'RC'!$K$7</f>
        <v>-150000</v>
      </c>
      <c r="AP59" s="109">
        <v>550453</v>
      </c>
      <c r="AQ59" s="435">
        <f t="shared" si="37"/>
        <v>3.121589811440444E-2</v>
      </c>
      <c r="AR59" s="448"/>
      <c r="AS59" s="214">
        <f>+'RC'!G5</f>
        <v>18919303</v>
      </c>
      <c r="AT59" s="134">
        <f>+'RC'!G6</f>
        <v>7051073</v>
      </c>
      <c r="AU59" s="109">
        <f>+'RC'!L5</f>
        <v>0</v>
      </c>
      <c r="AV59" s="109">
        <f>'RC'!$L$6</f>
        <v>-610000</v>
      </c>
      <c r="AW59" s="109">
        <f>'RC'!$L$7</f>
        <v>-795000</v>
      </c>
      <c r="AX59" s="109">
        <f>'RC'!$L$8</f>
        <v>0</v>
      </c>
      <c r="AY59" s="111">
        <f t="shared" si="39"/>
        <v>-4.2020575493716655E-2</v>
      </c>
      <c r="BA59" s="95"/>
    </row>
    <row r="60" spans="1:53" s="125" customFormat="1" x14ac:dyDescent="0.25">
      <c r="A60" s="116" t="s">
        <v>122</v>
      </c>
      <c r="B60" s="117"/>
      <c r="C60" s="118"/>
      <c r="D60" s="166"/>
      <c r="E60" s="119">
        <f t="shared" ref="E60:J60" si="40">SUM(E54:E59)</f>
        <v>57360859</v>
      </c>
      <c r="F60" s="120">
        <f t="shared" si="40"/>
        <v>230901057</v>
      </c>
      <c r="G60" s="120">
        <f t="shared" si="40"/>
        <v>0</v>
      </c>
      <c r="H60" s="120">
        <f t="shared" si="40"/>
        <v>484000</v>
      </c>
      <c r="I60" s="120">
        <f t="shared" si="40"/>
        <v>357000</v>
      </c>
      <c r="J60" s="120">
        <f t="shared" si="40"/>
        <v>1187795</v>
      </c>
      <c r="K60" s="122">
        <f t="shared" si="38"/>
        <v>5.1441730732311028E-3</v>
      </c>
      <c r="L60" s="355"/>
      <c r="M60" s="119">
        <f>SUM(M54:M59)</f>
        <v>65347787</v>
      </c>
      <c r="N60" s="120">
        <f>SUM(N54:N59)</f>
        <v>237757142</v>
      </c>
      <c r="O60" s="120">
        <f>SUM(O54:O59)</f>
        <v>0</v>
      </c>
      <c r="P60" s="120"/>
      <c r="Q60" s="120">
        <f>SUM(Q54:Q59)</f>
        <v>-453536</v>
      </c>
      <c r="R60" s="120">
        <f>SUM(R54:R59)</f>
        <v>-1550250</v>
      </c>
      <c r="S60" s="122">
        <f>R60/N60</f>
        <v>-6.5203088620572336E-3</v>
      </c>
      <c r="T60" s="355"/>
      <c r="U60" s="124">
        <f t="shared" ref="U60:Z60" si="41">SUM(U54:U59)</f>
        <v>242036756</v>
      </c>
      <c r="V60" s="120">
        <f>SUM(V54:V59)</f>
        <v>61224114</v>
      </c>
      <c r="W60" s="120">
        <f t="shared" si="41"/>
        <v>-425000</v>
      </c>
      <c r="X60" s="120">
        <f t="shared" si="41"/>
        <v>84000</v>
      </c>
      <c r="Y60" s="120">
        <f t="shared" si="41"/>
        <v>712000</v>
      </c>
      <c r="Z60" s="120">
        <f t="shared" si="41"/>
        <v>1855722</v>
      </c>
      <c r="AA60" s="122">
        <f>Z60/U60</f>
        <v>7.6671082139276401E-3</v>
      </c>
      <c r="AB60" s="355"/>
      <c r="AC60" s="119">
        <v>249122779</v>
      </c>
      <c r="AD60" s="120">
        <v>55403615</v>
      </c>
      <c r="AE60" s="120">
        <v>-275000</v>
      </c>
      <c r="AF60" s="120">
        <v>558000</v>
      </c>
      <c r="AG60" s="120">
        <v>732000</v>
      </c>
      <c r="AH60" s="133">
        <v>1346510</v>
      </c>
      <c r="AI60" s="354">
        <f t="shared" si="2"/>
        <v>5.405005537450271E-3</v>
      </c>
      <c r="AJ60" s="449"/>
      <c r="AK60" s="154">
        <f t="shared" ref="AK60:AO60" si="42">SUM(AK54:AK59)</f>
        <v>246514296</v>
      </c>
      <c r="AL60" s="120">
        <f t="shared" si="42"/>
        <v>54047758</v>
      </c>
      <c r="AM60" s="120">
        <f t="shared" si="42"/>
        <v>0</v>
      </c>
      <c r="AN60" s="133">
        <f t="shared" si="42"/>
        <v>776000</v>
      </c>
      <c r="AO60" s="133">
        <f t="shared" si="42"/>
        <v>1790000</v>
      </c>
      <c r="AP60" s="133">
        <v>3367450</v>
      </c>
      <c r="AQ60" s="354">
        <f t="shared" si="37"/>
        <v>1.3660262526924604E-2</v>
      </c>
      <c r="AR60" s="449"/>
      <c r="AS60" s="215">
        <f t="shared" ref="AS60:AX60" si="43">SUM(AS54:AS59)</f>
        <v>245461233.24000001</v>
      </c>
      <c r="AT60" s="133">
        <f t="shared" si="43"/>
        <v>50092837.239999995</v>
      </c>
      <c r="AU60" s="120">
        <f t="shared" si="43"/>
        <v>380000</v>
      </c>
      <c r="AV60" s="133">
        <f t="shared" si="43"/>
        <v>396000</v>
      </c>
      <c r="AW60" s="133">
        <f t="shared" si="43"/>
        <v>703000</v>
      </c>
      <c r="AX60" s="133">
        <f t="shared" si="43"/>
        <v>0</v>
      </c>
      <c r="AY60" s="122">
        <f t="shared" si="39"/>
        <v>2.8639960401105006E-3</v>
      </c>
      <c r="AZ60" s="97"/>
      <c r="BA60" s="95"/>
    </row>
    <row r="61" spans="1:53" ht="6.75" customHeight="1" x14ac:dyDescent="0.25">
      <c r="A61" s="101"/>
      <c r="B61" s="115"/>
      <c r="C61" s="100"/>
      <c r="D61" s="166"/>
      <c r="E61" s="119"/>
      <c r="F61" s="139"/>
      <c r="G61" s="139"/>
      <c r="H61" s="139"/>
      <c r="I61" s="139"/>
      <c r="J61" s="139"/>
      <c r="K61" s="140"/>
      <c r="L61" s="355"/>
      <c r="M61" s="119"/>
      <c r="N61" s="120"/>
      <c r="O61" s="120"/>
      <c r="P61" s="120"/>
      <c r="Q61" s="120"/>
      <c r="R61" s="120"/>
      <c r="S61" s="140"/>
      <c r="T61" s="355"/>
      <c r="U61" s="124"/>
      <c r="V61" s="120"/>
      <c r="W61" s="120"/>
      <c r="X61" s="120"/>
      <c r="Y61" s="120"/>
      <c r="Z61" s="120"/>
      <c r="AA61" s="140"/>
      <c r="AB61" s="355"/>
      <c r="AC61" s="119"/>
      <c r="AD61" s="120"/>
      <c r="AE61" s="120"/>
      <c r="AF61" s="120"/>
      <c r="AG61" s="120"/>
      <c r="AH61" s="133"/>
      <c r="AI61" s="437"/>
      <c r="AJ61" s="449"/>
      <c r="AK61" s="154"/>
      <c r="AL61" s="120"/>
      <c r="AM61" s="120"/>
      <c r="AN61" s="133"/>
      <c r="AO61" s="133"/>
      <c r="AP61" s="133"/>
      <c r="AQ61" s="437"/>
      <c r="AR61" s="449"/>
      <c r="AS61" s="215"/>
      <c r="AT61" s="133"/>
      <c r="AU61" s="120"/>
      <c r="AV61" s="133"/>
      <c r="AW61" s="133"/>
      <c r="AX61" s="133"/>
      <c r="AY61" s="140"/>
      <c r="AZ61" s="95"/>
      <c r="BA61" s="95"/>
    </row>
    <row r="62" spans="1:53" s="125" customFormat="1" x14ac:dyDescent="0.25">
      <c r="A62" s="141" t="s">
        <v>123</v>
      </c>
      <c r="B62" s="142"/>
      <c r="C62" s="143"/>
      <c r="D62" s="166"/>
      <c r="E62" s="144">
        <f t="shared" ref="E62:J62" si="44">E17+E38+E60+E27+E43+E51</f>
        <v>-578975420</v>
      </c>
      <c r="F62" s="145">
        <f t="shared" si="44"/>
        <v>765509247</v>
      </c>
      <c r="G62" s="145">
        <f t="shared" si="44"/>
        <v>0</v>
      </c>
      <c r="H62" s="146">
        <f t="shared" si="44"/>
        <v>-6933000</v>
      </c>
      <c r="I62" s="145">
        <f t="shared" si="44"/>
        <v>-4403250</v>
      </c>
      <c r="J62" s="145">
        <f t="shared" si="44"/>
        <v>10657615</v>
      </c>
      <c r="K62" s="147">
        <f>J62/F62</f>
        <v>1.3922255076299555E-2</v>
      </c>
      <c r="L62" s="355"/>
      <c r="M62" s="144">
        <f t="shared" ref="M62:R62" si="45">M17+M38+M60+M27+M43+M51</f>
        <v>-554591757</v>
      </c>
      <c r="N62" s="145">
        <f t="shared" si="45"/>
        <v>773753992</v>
      </c>
      <c r="O62" s="145">
        <f t="shared" si="45"/>
        <v>0</v>
      </c>
      <c r="P62" s="145">
        <f t="shared" si="45"/>
        <v>0</v>
      </c>
      <c r="Q62" s="145">
        <f t="shared" si="45"/>
        <v>11612570</v>
      </c>
      <c r="R62" s="145">
        <f t="shared" si="45"/>
        <v>13643527</v>
      </c>
      <c r="S62" s="147">
        <v>-7.206330762197892E-3</v>
      </c>
      <c r="T62" s="355"/>
      <c r="U62" s="148">
        <f t="shared" ref="U62:Z62" si="46">U10+U17+U38+U60+U27+U43+U51</f>
        <v>1136421981</v>
      </c>
      <c r="V62" s="145">
        <f t="shared" si="46"/>
        <v>-592480212</v>
      </c>
      <c r="W62" s="145">
        <f t="shared" si="46"/>
        <v>-12054300</v>
      </c>
      <c r="X62" s="145">
        <f t="shared" si="46"/>
        <v>-12384800</v>
      </c>
      <c r="Y62" s="145">
        <f t="shared" si="46"/>
        <v>-5101800</v>
      </c>
      <c r="Z62" s="145">
        <f t="shared" si="46"/>
        <v>8876821.0800000001</v>
      </c>
      <c r="AA62" s="147">
        <f>Z62/U62</f>
        <v>7.8112014976943677E-3</v>
      </c>
      <c r="AB62" s="355"/>
      <c r="AC62" s="144">
        <v>658382579</v>
      </c>
      <c r="AD62" s="145">
        <v>-106731089</v>
      </c>
      <c r="AE62" s="145">
        <v>-1385000</v>
      </c>
      <c r="AF62" s="145">
        <v>1735000</v>
      </c>
      <c r="AG62" s="145">
        <v>1011000</v>
      </c>
      <c r="AH62" s="149">
        <v>314238</v>
      </c>
      <c r="AI62" s="438">
        <f t="shared" si="2"/>
        <v>4.7728784148160153E-4</v>
      </c>
      <c r="AJ62" s="449"/>
      <c r="AK62" s="425">
        <f>AK10+AK17+AK38+AK60+AK27+AK43+AK51</f>
        <v>637234064</v>
      </c>
      <c r="AL62" s="145">
        <f>AL10+AL17+AL38+AL60+AL27+AL43+AL51</f>
        <v>-110249751</v>
      </c>
      <c r="AM62" s="145">
        <f>AM10+AM17+AM38+AM60+AM27+AM43+AM51</f>
        <v>0</v>
      </c>
      <c r="AN62" s="149">
        <f>AN10+AN17+AN38+AN60+AN27+AN43+AN51</f>
        <v>1777500</v>
      </c>
      <c r="AO62" s="149">
        <f>AO10+AO17+AO38+AO60+AO27+AO43+AO51</f>
        <v>3114800</v>
      </c>
      <c r="AP62" s="149">
        <v>5239676</v>
      </c>
      <c r="AQ62" s="438">
        <f>AP62/AK62</f>
        <v>8.2225296731783006E-3</v>
      </c>
      <c r="AR62" s="449"/>
      <c r="AS62" s="218">
        <f t="shared" ref="AS62:AX62" si="47">AS10+AS17+AS38+AS60+AS27+AS43+AS51</f>
        <v>655693800.74000001</v>
      </c>
      <c r="AT62" s="149">
        <f t="shared" si="47"/>
        <v>-112207190.35999997</v>
      </c>
      <c r="AU62" s="145">
        <f t="shared" si="47"/>
        <v>-1841000</v>
      </c>
      <c r="AV62" s="149">
        <f t="shared" si="47"/>
        <v>-4102300</v>
      </c>
      <c r="AW62" s="149">
        <f t="shared" si="47"/>
        <v>-3701500</v>
      </c>
      <c r="AX62" s="149">
        <f t="shared" si="47"/>
        <v>0</v>
      </c>
      <c r="AY62" s="147">
        <f>AW62/AS62</f>
        <v>-5.6451654656831853E-3</v>
      </c>
      <c r="AZ62" s="97"/>
    </row>
    <row r="63" spans="1:53" ht="9.75" customHeight="1" x14ac:dyDescent="0.25">
      <c r="A63" s="101"/>
      <c r="B63" s="115"/>
      <c r="C63" s="100"/>
      <c r="D63" s="166"/>
      <c r="E63" s="108"/>
      <c r="F63" s="109"/>
      <c r="G63" s="109"/>
      <c r="H63" s="110"/>
      <c r="I63" s="109"/>
      <c r="J63" s="109"/>
      <c r="K63" s="127"/>
      <c r="L63" s="166"/>
      <c r="M63" s="108"/>
      <c r="N63" s="109"/>
      <c r="O63" s="109"/>
      <c r="P63" s="109"/>
      <c r="Q63" s="109"/>
      <c r="R63" s="109"/>
      <c r="S63" s="127"/>
      <c r="T63" s="166"/>
      <c r="U63" s="112"/>
      <c r="V63" s="109"/>
      <c r="W63" s="109"/>
      <c r="X63" s="109"/>
      <c r="Y63" s="109"/>
      <c r="Z63" s="109"/>
      <c r="AA63" s="127"/>
      <c r="AB63" s="166"/>
      <c r="AC63" s="108"/>
      <c r="AD63" s="109"/>
      <c r="AE63" s="109"/>
      <c r="AF63" s="109"/>
      <c r="AG63" s="109"/>
      <c r="AH63" s="134"/>
      <c r="AI63" s="436"/>
      <c r="AJ63" s="448"/>
      <c r="AK63" s="423"/>
      <c r="AL63" s="109"/>
      <c r="AM63" s="109"/>
      <c r="AN63" s="134"/>
      <c r="AO63" s="134"/>
      <c r="AP63" s="134"/>
      <c r="AQ63" s="436"/>
      <c r="AR63" s="448"/>
      <c r="AS63" s="214"/>
      <c r="AT63" s="134"/>
      <c r="AU63" s="109"/>
      <c r="AV63" s="134"/>
      <c r="AW63" s="134"/>
      <c r="AX63" s="134"/>
      <c r="AY63" s="127"/>
    </row>
    <row r="64" spans="1:53" x14ac:dyDescent="0.25">
      <c r="A64" s="116" t="s">
        <v>124</v>
      </c>
      <c r="B64" s="115"/>
      <c r="C64" s="100"/>
      <c r="D64" s="166"/>
      <c r="E64" s="108"/>
      <c r="F64" s="109"/>
      <c r="G64" s="109"/>
      <c r="H64" s="110"/>
      <c r="I64" s="109"/>
      <c r="J64" s="109"/>
      <c r="K64" s="127"/>
      <c r="L64" s="166"/>
      <c r="M64" s="108"/>
      <c r="N64" s="109"/>
      <c r="O64" s="109"/>
      <c r="P64" s="109"/>
      <c r="Q64" s="109"/>
      <c r="R64" s="109"/>
      <c r="S64" s="127"/>
      <c r="T64" s="166"/>
      <c r="U64" s="112"/>
      <c r="V64" s="109"/>
      <c r="W64" s="109"/>
      <c r="X64" s="109"/>
      <c r="Y64" s="109"/>
      <c r="Z64" s="109"/>
      <c r="AA64" s="127"/>
      <c r="AB64" s="166"/>
      <c r="AC64" s="108"/>
      <c r="AD64" s="109"/>
      <c r="AE64" s="109"/>
      <c r="AF64" s="109"/>
      <c r="AG64" s="109"/>
      <c r="AH64" s="134"/>
      <c r="AI64" s="436"/>
      <c r="AJ64" s="448"/>
      <c r="AK64" s="423"/>
      <c r="AL64" s="109"/>
      <c r="AM64" s="109"/>
      <c r="AN64" s="134"/>
      <c r="AO64" s="134"/>
      <c r="AP64" s="134"/>
      <c r="AQ64" s="436"/>
      <c r="AR64" s="448"/>
      <c r="AS64" s="214"/>
      <c r="AT64" s="134"/>
      <c r="AU64" s="109"/>
      <c r="AV64" s="134"/>
      <c r="AW64" s="134"/>
      <c r="AX64" s="134"/>
      <c r="AY64" s="127"/>
    </row>
    <row r="65" spans="1:55" s="250" customFormat="1" hidden="1" outlineLevel="1" x14ac:dyDescent="0.25">
      <c r="A65" s="223"/>
      <c r="B65" s="224" t="s">
        <v>125</v>
      </c>
      <c r="C65" s="225">
        <v>31</v>
      </c>
      <c r="D65" s="433"/>
      <c r="E65" s="227">
        <v>586885</v>
      </c>
      <c r="F65" s="228">
        <v>570732</v>
      </c>
      <c r="G65" s="228"/>
      <c r="H65" s="229">
        <v>-5000</v>
      </c>
      <c r="I65" s="228">
        <v>-28000</v>
      </c>
      <c r="J65" s="228">
        <v>-20139</v>
      </c>
      <c r="K65" s="230">
        <f>J65/F65</f>
        <v>-3.5286263955762072E-2</v>
      </c>
      <c r="L65" s="433"/>
      <c r="M65" s="227">
        <v>550000</v>
      </c>
      <c r="N65" s="228">
        <v>550000</v>
      </c>
      <c r="O65" s="228"/>
      <c r="P65" s="228">
        <v>0</v>
      </c>
      <c r="Q65" s="228">
        <v>-163000</v>
      </c>
      <c r="R65" s="228">
        <v>-256303</v>
      </c>
      <c r="S65" s="230">
        <v>-0.46600000000000003</v>
      </c>
      <c r="T65" s="433"/>
      <c r="U65" s="231">
        <v>550000</v>
      </c>
      <c r="V65" s="228">
        <v>550000</v>
      </c>
      <c r="W65" s="228">
        <v>101000</v>
      </c>
      <c r="X65" s="228">
        <v>88000</v>
      </c>
      <c r="Y65" s="228">
        <v>96000</v>
      </c>
      <c r="Z65" s="228">
        <v>75977</v>
      </c>
      <c r="AA65" s="230">
        <f t="shared" ref="AA65:AA74" si="48">Z65/U65</f>
        <v>0.13814000000000001</v>
      </c>
      <c r="AB65" s="433"/>
      <c r="AC65" s="227">
        <v>573272</v>
      </c>
      <c r="AD65" s="228">
        <v>573272</v>
      </c>
      <c r="AE65" s="228">
        <v>0</v>
      </c>
      <c r="AF65" s="228">
        <v>261000</v>
      </c>
      <c r="AG65" s="228">
        <v>300000</v>
      </c>
      <c r="AH65" s="228">
        <v>320767</v>
      </c>
      <c r="AI65" s="420">
        <f t="shared" si="2"/>
        <v>0.55953718304748878</v>
      </c>
      <c r="AJ65" s="450"/>
      <c r="AK65" s="424"/>
      <c r="AL65" s="228"/>
      <c r="AM65" s="228"/>
      <c r="AN65" s="228"/>
      <c r="AO65" s="228"/>
      <c r="AP65" s="228"/>
      <c r="AQ65" s="420"/>
      <c r="AR65" s="450"/>
      <c r="AS65" s="227"/>
      <c r="AT65" s="228"/>
      <c r="AU65" s="228"/>
      <c r="AV65" s="228"/>
      <c r="AW65" s="228"/>
      <c r="AX65" s="228"/>
      <c r="AY65" s="230"/>
      <c r="AZ65" s="226"/>
    </row>
    <row r="66" spans="1:55" collapsed="1" x14ac:dyDescent="0.25">
      <c r="A66" s="101"/>
      <c r="B66" s="115" t="s">
        <v>126</v>
      </c>
      <c r="C66" s="100">
        <v>33</v>
      </c>
      <c r="D66" s="166"/>
      <c r="E66" s="108">
        <v>67776443</v>
      </c>
      <c r="F66" s="109">
        <v>69964168</v>
      </c>
      <c r="G66" s="109"/>
      <c r="H66" s="110">
        <v>0</v>
      </c>
      <c r="I66" s="109">
        <v>0</v>
      </c>
      <c r="J66" s="109">
        <v>497312</v>
      </c>
      <c r="K66" s="111">
        <f>J66/F66</f>
        <v>7.1080956754892019E-3</v>
      </c>
      <c r="L66" s="166"/>
      <c r="M66" s="108">
        <v>63428740</v>
      </c>
      <c r="N66" s="109">
        <v>70939466</v>
      </c>
      <c r="O66" s="109"/>
      <c r="P66" s="109">
        <v>0</v>
      </c>
      <c r="Q66" s="109">
        <v>-1500000</v>
      </c>
      <c r="R66" s="109">
        <v>-1727909</v>
      </c>
      <c r="S66" s="111">
        <v>-2.4E-2</v>
      </c>
      <c r="T66" s="166"/>
      <c r="U66" s="112">
        <v>71993858</v>
      </c>
      <c r="V66" s="109">
        <v>64388280</v>
      </c>
      <c r="W66" s="109">
        <v>-500000</v>
      </c>
      <c r="X66" s="109">
        <v>-1750000</v>
      </c>
      <c r="Y66" s="109">
        <v>-1750000</v>
      </c>
      <c r="Z66" s="109">
        <v>-153698</v>
      </c>
      <c r="AA66" s="111">
        <f t="shared" si="48"/>
        <v>-2.1348765612755464E-3</v>
      </c>
      <c r="AB66" s="166"/>
      <c r="AC66" s="108">
        <v>76704906</v>
      </c>
      <c r="AD66" s="109">
        <v>68168086</v>
      </c>
      <c r="AE66" s="109">
        <v>0</v>
      </c>
      <c r="AF66" s="109">
        <v>0</v>
      </c>
      <c r="AG66" s="109">
        <v>0</v>
      </c>
      <c r="AH66" s="134">
        <v>89971</v>
      </c>
      <c r="AI66" s="435">
        <f t="shared" si="2"/>
        <v>1.1729497458741426E-3</v>
      </c>
      <c r="AJ66" s="448"/>
      <c r="AK66" s="423">
        <v>80140114</v>
      </c>
      <c r="AL66" s="109">
        <f>AK66-7857157</f>
        <v>72282957</v>
      </c>
      <c r="AM66" s="109">
        <v>0</v>
      </c>
      <c r="AN66" s="109">
        <f>WPS!$K$6</f>
        <v>-470000</v>
      </c>
      <c r="AO66" s="109">
        <f>WPS!$K$7</f>
        <v>-470000</v>
      </c>
      <c r="AP66" s="109">
        <v>-626672</v>
      </c>
      <c r="AQ66" s="435">
        <f t="shared" ref="AQ66:AQ74" si="49">AP66/AK66</f>
        <v>-7.8197043742663005E-3</v>
      </c>
      <c r="AR66" s="448"/>
      <c r="AS66" s="214">
        <f>+WPS!G5</f>
        <v>82830646.680000007</v>
      </c>
      <c r="AT66" s="134">
        <f>+WPS!G6</f>
        <v>73782957.680000007</v>
      </c>
      <c r="AU66" s="109">
        <f>+WPS!L5</f>
        <v>-600000</v>
      </c>
      <c r="AV66" s="109">
        <f>WPS!$L$6</f>
        <v>-750000</v>
      </c>
      <c r="AW66" s="109">
        <f>WPS!$L$7</f>
        <v>-750000</v>
      </c>
      <c r="AX66" s="109">
        <f>WPS!$L$8</f>
        <v>0</v>
      </c>
      <c r="AY66" s="111">
        <f t="shared" ref="AY66:AY74" si="50">AW66/AS66</f>
        <v>-9.054619637312241E-3</v>
      </c>
      <c r="BA66" s="95"/>
    </row>
    <row r="67" spans="1:55" x14ac:dyDescent="0.25">
      <c r="A67" s="101"/>
      <c r="B67" s="115" t="s">
        <v>129</v>
      </c>
      <c r="C67" s="100">
        <v>34</v>
      </c>
      <c r="D67" s="166"/>
      <c r="E67" s="108">
        <v>11272079</v>
      </c>
      <c r="F67" s="109">
        <v>28244009</v>
      </c>
      <c r="G67" s="109"/>
      <c r="H67" s="110">
        <v>-613000</v>
      </c>
      <c r="I67" s="109">
        <v>-761373</v>
      </c>
      <c r="J67" s="109">
        <v>-500551</v>
      </c>
      <c r="K67" s="111">
        <f>J67/F67</f>
        <v>-1.7722377867816146E-2</v>
      </c>
      <c r="L67" s="166"/>
      <c r="M67" s="108">
        <v>11611015</v>
      </c>
      <c r="N67" s="109">
        <v>28356999</v>
      </c>
      <c r="O67" s="109"/>
      <c r="P67" s="109">
        <v>0</v>
      </c>
      <c r="Q67" s="109">
        <v>0</v>
      </c>
      <c r="R67" s="109">
        <v>19868</v>
      </c>
      <c r="S67" s="111">
        <v>1E-3</v>
      </c>
      <c r="T67" s="166"/>
      <c r="U67" s="112">
        <v>28176247</v>
      </c>
      <c r="V67" s="109">
        <v>11153054</v>
      </c>
      <c r="W67" s="109">
        <v>0</v>
      </c>
      <c r="X67" s="109">
        <v>0</v>
      </c>
      <c r="Y67" s="109">
        <v>-170000</v>
      </c>
      <c r="Z67" s="109">
        <v>-310150</v>
      </c>
      <c r="AA67" s="111">
        <f t="shared" si="48"/>
        <v>-1.100749862109031E-2</v>
      </c>
      <c r="AB67" s="166"/>
      <c r="AC67" s="108">
        <v>29855258</v>
      </c>
      <c r="AD67" s="109">
        <v>12409811</v>
      </c>
      <c r="AE67" s="109">
        <v>-660000</v>
      </c>
      <c r="AF67" s="109">
        <v>-562000</v>
      </c>
      <c r="AG67" s="109">
        <v>-464000</v>
      </c>
      <c r="AH67" s="134">
        <v>-413938</v>
      </c>
      <c r="AI67" s="435">
        <f t="shared" si="2"/>
        <v>-1.3864827428387991E-2</v>
      </c>
      <c r="AJ67" s="448"/>
      <c r="AK67" s="423">
        <v>28245389</v>
      </c>
      <c r="AL67" s="109">
        <f>AK67-15955578</f>
        <v>12289811</v>
      </c>
      <c r="AM67" s="109">
        <v>0</v>
      </c>
      <c r="AN67" s="109">
        <f>TW!$K$6</f>
        <v>-186000</v>
      </c>
      <c r="AO67" s="109">
        <f>TW!$K$7</f>
        <v>-347000</v>
      </c>
      <c r="AP67" s="109">
        <v>-518278</v>
      </c>
      <c r="AQ67" s="435">
        <f t="shared" si="49"/>
        <v>-1.8349118859719016E-2</v>
      </c>
      <c r="AR67" s="448"/>
      <c r="AS67" s="214">
        <f>+TW!G5</f>
        <v>29843504</v>
      </c>
      <c r="AT67" s="134">
        <f>+TW!G6</f>
        <v>12387926</v>
      </c>
      <c r="AU67" s="109">
        <f>+TW!L5</f>
        <v>-420000</v>
      </c>
      <c r="AV67" s="109">
        <f>TW!$L$6</f>
        <v>-294000</v>
      </c>
      <c r="AW67" s="109">
        <f>TW!$L$7</f>
        <v>-408000</v>
      </c>
      <c r="AX67" s="109">
        <f>TW!$L$8</f>
        <v>0</v>
      </c>
      <c r="AY67" s="111">
        <f t="shared" si="50"/>
        <v>-1.367131688021621E-2</v>
      </c>
    </row>
    <row r="68" spans="1:55" x14ac:dyDescent="0.25">
      <c r="A68" s="101"/>
      <c r="B68" s="115" t="s">
        <v>190</v>
      </c>
      <c r="C68" s="100">
        <v>36</v>
      </c>
      <c r="D68" s="166"/>
      <c r="E68" s="108">
        <v>7871714</v>
      </c>
      <c r="F68" s="109">
        <f>E68</f>
        <v>7871714</v>
      </c>
      <c r="G68" s="109"/>
      <c r="H68" s="110">
        <v>0</v>
      </c>
      <c r="I68" s="109">
        <v>0</v>
      </c>
      <c r="J68" s="109">
        <v>0</v>
      </c>
      <c r="K68" s="111">
        <v>0</v>
      </c>
      <c r="L68" s="166"/>
      <c r="M68" s="108">
        <v>7729359</v>
      </c>
      <c r="N68" s="109">
        <f>M68</f>
        <v>7729359</v>
      </c>
      <c r="O68" s="109"/>
      <c r="P68" s="109">
        <v>0</v>
      </c>
      <c r="Q68" s="109">
        <v>0</v>
      </c>
      <c r="R68" s="109">
        <v>0</v>
      </c>
      <c r="S68" s="111">
        <v>0</v>
      </c>
      <c r="T68" s="166"/>
      <c r="U68" s="112">
        <v>7729359</v>
      </c>
      <c r="V68" s="109">
        <v>7729359</v>
      </c>
      <c r="W68" s="109">
        <v>0</v>
      </c>
      <c r="X68" s="109">
        <v>0</v>
      </c>
      <c r="Y68" s="109">
        <v>0</v>
      </c>
      <c r="Z68" s="109">
        <v>0</v>
      </c>
      <c r="AA68" s="111">
        <f t="shared" si="48"/>
        <v>0</v>
      </c>
      <c r="AB68" s="166"/>
      <c r="AC68" s="108">
        <v>7939359</v>
      </c>
      <c r="AD68" s="109">
        <v>7939359</v>
      </c>
      <c r="AE68" s="109">
        <v>0</v>
      </c>
      <c r="AF68" s="109">
        <v>0</v>
      </c>
      <c r="AG68" s="109">
        <v>0</v>
      </c>
      <c r="AH68" s="109">
        <v>0</v>
      </c>
      <c r="AI68" s="435">
        <f t="shared" si="2"/>
        <v>0</v>
      </c>
      <c r="AJ68" s="448"/>
      <c r="AK68" s="423">
        <v>7939359</v>
      </c>
      <c r="AL68" s="109">
        <f>AK68</f>
        <v>7939359</v>
      </c>
      <c r="AM68" s="109">
        <v>0</v>
      </c>
      <c r="AN68" s="109">
        <f>WPL!$K$6</f>
        <v>0</v>
      </c>
      <c r="AO68" s="109">
        <f>WPL!$K$7</f>
        <v>0</v>
      </c>
      <c r="AP68" s="109">
        <v>0</v>
      </c>
      <c r="AQ68" s="435">
        <f t="shared" si="49"/>
        <v>0</v>
      </c>
      <c r="AR68" s="448"/>
      <c r="AS68" s="214">
        <v>7293932</v>
      </c>
      <c r="AT68" s="134">
        <f>AS68</f>
        <v>7293932</v>
      </c>
      <c r="AU68" s="109">
        <v>0</v>
      </c>
      <c r="AV68" s="109">
        <f>WPL!$L$6</f>
        <v>0</v>
      </c>
      <c r="AW68" s="109">
        <f>WPL!$L$7</f>
        <v>0</v>
      </c>
      <c r="AX68" s="109">
        <f>WPL!$L$8</f>
        <v>0</v>
      </c>
      <c r="AY68" s="111">
        <f t="shared" si="50"/>
        <v>0</v>
      </c>
    </row>
    <row r="69" spans="1:55" s="131" customFormat="1" hidden="1" outlineLevel="1" x14ac:dyDescent="0.25">
      <c r="A69" s="129"/>
      <c r="B69" s="224" t="s">
        <v>133</v>
      </c>
      <c r="C69" s="225"/>
      <c r="D69" s="433"/>
      <c r="E69" s="227"/>
      <c r="F69" s="228"/>
      <c r="G69" s="228"/>
      <c r="H69" s="229"/>
      <c r="I69" s="228"/>
      <c r="J69" s="228"/>
      <c r="K69" s="230" t="e">
        <f>J69/F69</f>
        <v>#DIV/0!</v>
      </c>
      <c r="L69" s="433"/>
      <c r="M69" s="227"/>
      <c r="N69" s="228"/>
      <c r="O69" s="228"/>
      <c r="P69" s="228"/>
      <c r="Q69" s="228"/>
      <c r="R69" s="228"/>
      <c r="S69" s="230"/>
      <c r="T69" s="433"/>
      <c r="U69" s="231">
        <v>0</v>
      </c>
      <c r="V69" s="228">
        <v>0</v>
      </c>
      <c r="W69" s="228"/>
      <c r="X69" s="228"/>
      <c r="Y69" s="228"/>
      <c r="Z69" s="228"/>
      <c r="AA69" s="230" t="e">
        <f t="shared" si="48"/>
        <v>#DIV/0!</v>
      </c>
      <c r="AB69" s="433"/>
      <c r="AC69" s="227">
        <v>0</v>
      </c>
      <c r="AD69" s="228">
        <v>0</v>
      </c>
      <c r="AE69" s="228"/>
      <c r="AF69" s="228"/>
      <c r="AG69" s="228"/>
      <c r="AH69" s="228"/>
      <c r="AI69" s="420" t="e">
        <f t="shared" si="2"/>
        <v>#DIV/0!</v>
      </c>
      <c r="AJ69" s="450"/>
      <c r="AK69" s="424">
        <v>0</v>
      </c>
      <c r="AL69" s="227"/>
      <c r="AM69" s="228"/>
      <c r="AN69" s="228"/>
      <c r="AO69" s="228"/>
      <c r="AP69" s="228"/>
      <c r="AQ69" s="229"/>
      <c r="AR69" s="453"/>
      <c r="AS69" s="421"/>
      <c r="AT69" s="228"/>
      <c r="AU69" s="229"/>
      <c r="AV69" s="228"/>
      <c r="AW69" s="228"/>
      <c r="AX69" s="228"/>
      <c r="AY69" s="422" t="e">
        <f t="shared" si="50"/>
        <v>#DIV/0!</v>
      </c>
      <c r="AZ69" s="130"/>
      <c r="BA69" s="130"/>
    </row>
    <row r="70" spans="1:55" s="131" customFormat="1" hidden="1" outlineLevel="1" x14ac:dyDescent="0.25">
      <c r="A70" s="129"/>
      <c r="B70" s="224" t="s">
        <v>134</v>
      </c>
      <c r="C70" s="225"/>
      <c r="D70" s="433"/>
      <c r="E70" s="227"/>
      <c r="F70" s="228"/>
      <c r="G70" s="228"/>
      <c r="H70" s="229"/>
      <c r="I70" s="228"/>
      <c r="J70" s="228"/>
      <c r="K70" s="230" t="e">
        <f>J70/F70</f>
        <v>#DIV/0!</v>
      </c>
      <c r="L70" s="433"/>
      <c r="M70" s="227"/>
      <c r="N70" s="228"/>
      <c r="O70" s="228"/>
      <c r="P70" s="228"/>
      <c r="Q70" s="228"/>
      <c r="R70" s="228"/>
      <c r="S70" s="230"/>
      <c r="T70" s="433"/>
      <c r="U70" s="231">
        <v>0</v>
      </c>
      <c r="V70" s="228">
        <v>0</v>
      </c>
      <c r="W70" s="228"/>
      <c r="X70" s="228"/>
      <c r="Y70" s="228"/>
      <c r="Z70" s="228"/>
      <c r="AA70" s="230" t="e">
        <f t="shared" si="48"/>
        <v>#DIV/0!</v>
      </c>
      <c r="AB70" s="433"/>
      <c r="AC70" s="227">
        <v>0</v>
      </c>
      <c r="AD70" s="228">
        <v>0</v>
      </c>
      <c r="AE70" s="228"/>
      <c r="AF70" s="228"/>
      <c r="AG70" s="228"/>
      <c r="AH70" s="228"/>
      <c r="AI70" s="420" t="e">
        <f t="shared" si="2"/>
        <v>#DIV/0!</v>
      </c>
      <c r="AJ70" s="450"/>
      <c r="AK70" s="424">
        <v>0</v>
      </c>
      <c r="AL70" s="227"/>
      <c r="AM70" s="228"/>
      <c r="AN70" s="228"/>
      <c r="AO70" s="228"/>
      <c r="AP70" s="228"/>
      <c r="AQ70" s="229"/>
      <c r="AR70" s="453"/>
      <c r="AS70" s="421"/>
      <c r="AT70" s="228"/>
      <c r="AU70" s="229"/>
      <c r="AV70" s="228"/>
      <c r="AW70" s="228"/>
      <c r="AX70" s="228"/>
      <c r="AY70" s="422" t="e">
        <f t="shared" si="50"/>
        <v>#DIV/0!</v>
      </c>
      <c r="AZ70" s="130"/>
      <c r="BA70" s="130"/>
    </row>
    <row r="71" spans="1:55" s="131" customFormat="1" hidden="1" outlineLevel="1" x14ac:dyDescent="0.25">
      <c r="A71" s="129"/>
      <c r="B71" s="224" t="s">
        <v>135</v>
      </c>
      <c r="C71" s="225">
        <v>28</v>
      </c>
      <c r="D71" s="433"/>
      <c r="E71" s="227"/>
      <c r="F71" s="228"/>
      <c r="G71" s="228"/>
      <c r="H71" s="229"/>
      <c r="I71" s="228"/>
      <c r="J71" s="228"/>
      <c r="K71" s="230" t="e">
        <f>J71/F71</f>
        <v>#DIV/0!</v>
      </c>
      <c r="L71" s="433"/>
      <c r="M71" s="227"/>
      <c r="N71" s="228"/>
      <c r="O71" s="228"/>
      <c r="P71" s="228"/>
      <c r="Q71" s="228"/>
      <c r="R71" s="228"/>
      <c r="S71" s="230"/>
      <c r="T71" s="433"/>
      <c r="U71" s="231">
        <v>0</v>
      </c>
      <c r="V71" s="228">
        <v>0</v>
      </c>
      <c r="W71" s="228"/>
      <c r="X71" s="228"/>
      <c r="Y71" s="228"/>
      <c r="Z71" s="228"/>
      <c r="AA71" s="230" t="e">
        <f t="shared" si="48"/>
        <v>#DIV/0!</v>
      </c>
      <c r="AB71" s="433"/>
      <c r="AC71" s="227">
        <v>0</v>
      </c>
      <c r="AD71" s="228">
        <v>0</v>
      </c>
      <c r="AE71" s="228"/>
      <c r="AF71" s="228"/>
      <c r="AG71" s="228"/>
      <c r="AH71" s="228"/>
      <c r="AI71" s="420" t="e">
        <f t="shared" si="2"/>
        <v>#DIV/0!</v>
      </c>
      <c r="AJ71" s="450"/>
      <c r="AK71" s="424">
        <v>0</v>
      </c>
      <c r="AL71" s="227"/>
      <c r="AM71" s="228"/>
      <c r="AN71" s="228"/>
      <c r="AO71" s="228"/>
      <c r="AP71" s="228"/>
      <c r="AQ71" s="229"/>
      <c r="AR71" s="453"/>
      <c r="AS71" s="421"/>
      <c r="AT71" s="228"/>
      <c r="AU71" s="229"/>
      <c r="AV71" s="228"/>
      <c r="AW71" s="228"/>
      <c r="AX71" s="228"/>
      <c r="AY71" s="422" t="e">
        <f t="shared" si="50"/>
        <v>#DIV/0!</v>
      </c>
      <c r="AZ71" s="130"/>
      <c r="BA71" s="130"/>
    </row>
    <row r="72" spans="1:55" collapsed="1" x14ac:dyDescent="0.25">
      <c r="A72" s="101"/>
      <c r="B72" s="115" t="s">
        <v>136</v>
      </c>
      <c r="C72" s="100">
        <v>37</v>
      </c>
      <c r="D72" s="166"/>
      <c r="E72" s="108">
        <v>0</v>
      </c>
      <c r="F72" s="109"/>
      <c r="G72" s="109"/>
      <c r="H72" s="110"/>
      <c r="I72" s="109">
        <v>0</v>
      </c>
      <c r="J72" s="109">
        <v>0</v>
      </c>
      <c r="K72" s="111">
        <v>0</v>
      </c>
      <c r="L72" s="166"/>
      <c r="M72" s="108">
        <v>0</v>
      </c>
      <c r="N72" s="109"/>
      <c r="O72" s="109"/>
      <c r="P72" s="109"/>
      <c r="Q72" s="109">
        <v>0</v>
      </c>
      <c r="R72" s="109">
        <v>0</v>
      </c>
      <c r="S72" s="111">
        <v>0</v>
      </c>
      <c r="T72" s="166"/>
      <c r="U72" s="112">
        <v>14721734</v>
      </c>
      <c r="V72" s="109">
        <v>14721734</v>
      </c>
      <c r="W72" s="109">
        <v>0</v>
      </c>
      <c r="X72" s="109">
        <v>-45500</v>
      </c>
      <c r="Y72" s="109">
        <v>0</v>
      </c>
      <c r="Z72" s="109">
        <v>-77762</v>
      </c>
      <c r="AA72" s="111">
        <f t="shared" si="48"/>
        <v>-5.2821223369475361E-3</v>
      </c>
      <c r="AB72" s="166"/>
      <c r="AC72" s="108">
        <v>16053391</v>
      </c>
      <c r="AD72" s="109">
        <v>16053391</v>
      </c>
      <c r="AE72" s="109">
        <v>0</v>
      </c>
      <c r="AF72" s="109">
        <v>50000</v>
      </c>
      <c r="AG72" s="109">
        <v>-34000</v>
      </c>
      <c r="AH72" s="109">
        <v>-133209</v>
      </c>
      <c r="AI72" s="435">
        <f t="shared" si="2"/>
        <v>-8.297873016361465E-3</v>
      </c>
      <c r="AJ72" s="448"/>
      <c r="AK72" s="423">
        <v>16150454</v>
      </c>
      <c r="AL72" s="109">
        <f>AK72</f>
        <v>16150454</v>
      </c>
      <c r="AM72" s="109">
        <v>0</v>
      </c>
      <c r="AN72" s="109">
        <f>AG!$K$6</f>
        <v>0</v>
      </c>
      <c r="AO72" s="109">
        <f>AG!$K$7</f>
        <v>0</v>
      </c>
      <c r="AP72" s="109">
        <v>-146520</v>
      </c>
      <c r="AQ72" s="435">
        <f t="shared" si="49"/>
        <v>-9.0721907879493663E-3</v>
      </c>
      <c r="AR72" s="448"/>
      <c r="AS72" s="214">
        <f>+AG!G5</f>
        <v>16287054</v>
      </c>
      <c r="AT72" s="134">
        <f>+AG!G6</f>
        <v>16186455</v>
      </c>
      <c r="AU72" s="109">
        <f>+AG!L5</f>
        <v>-501720</v>
      </c>
      <c r="AV72" s="109">
        <f>AG!$L$6</f>
        <v>-501720</v>
      </c>
      <c r="AW72" s="109">
        <f>AG!$L$7</f>
        <v>-598120</v>
      </c>
      <c r="AX72" s="109">
        <f>AG!$L$8</f>
        <v>0</v>
      </c>
      <c r="AY72" s="111">
        <f t="shared" si="50"/>
        <v>-3.6723645663604969E-2</v>
      </c>
    </row>
    <row r="73" spans="1:55" x14ac:dyDescent="0.25">
      <c r="A73" s="101"/>
      <c r="B73" s="115" t="s">
        <v>138</v>
      </c>
      <c r="C73" s="100">
        <v>38</v>
      </c>
      <c r="D73" s="166"/>
      <c r="E73" s="108">
        <v>0</v>
      </c>
      <c r="F73" s="109"/>
      <c r="G73" s="109"/>
      <c r="H73" s="110"/>
      <c r="I73" s="109">
        <v>0</v>
      </c>
      <c r="J73" s="109">
        <v>0</v>
      </c>
      <c r="K73" s="111">
        <v>0</v>
      </c>
      <c r="L73" s="166"/>
      <c r="M73" s="108">
        <v>0</v>
      </c>
      <c r="N73" s="109"/>
      <c r="O73" s="109"/>
      <c r="P73" s="109"/>
      <c r="Q73" s="109">
        <v>0</v>
      </c>
      <c r="R73" s="109">
        <v>0</v>
      </c>
      <c r="S73" s="111">
        <v>0</v>
      </c>
      <c r="T73" s="166"/>
      <c r="U73" s="112">
        <v>57808</v>
      </c>
      <c r="V73" s="109">
        <v>57808</v>
      </c>
      <c r="W73" s="109">
        <v>0</v>
      </c>
      <c r="X73" s="109">
        <v>0</v>
      </c>
      <c r="Y73" s="109">
        <v>0</v>
      </c>
      <c r="Z73" s="109">
        <v>1503</v>
      </c>
      <c r="AA73" s="111">
        <f t="shared" si="48"/>
        <v>2.599986161084971E-2</v>
      </c>
      <c r="AB73" s="166"/>
      <c r="AC73" s="108">
        <v>87170</v>
      </c>
      <c r="AD73" s="109">
        <v>87170</v>
      </c>
      <c r="AE73" s="109">
        <v>0</v>
      </c>
      <c r="AF73" s="109">
        <v>0</v>
      </c>
      <c r="AG73" s="109">
        <v>27000</v>
      </c>
      <c r="AH73" s="109">
        <v>30776</v>
      </c>
      <c r="AI73" s="435">
        <f t="shared" si="2"/>
        <v>0.35305724446483883</v>
      </c>
      <c r="AJ73" s="448"/>
      <c r="AK73" s="423">
        <v>87170</v>
      </c>
      <c r="AL73" s="109">
        <f>AK73</f>
        <v>87170</v>
      </c>
      <c r="AM73" s="109">
        <v>0</v>
      </c>
      <c r="AN73" s="109">
        <f>CC!$K$6</f>
        <v>0</v>
      </c>
      <c r="AO73" s="109">
        <f>CC!$K$7</f>
        <v>9900</v>
      </c>
      <c r="AP73" s="109">
        <v>13572</v>
      </c>
      <c r="AQ73" s="435">
        <f t="shared" si="49"/>
        <v>0.15569576689227946</v>
      </c>
      <c r="AR73" s="448"/>
      <c r="AS73" s="214">
        <f>+CC!G5</f>
        <v>55920</v>
      </c>
      <c r="AT73" s="249">
        <f>+CC!G6</f>
        <v>55920</v>
      </c>
      <c r="AU73" s="109">
        <f>+CC!L5</f>
        <v>0</v>
      </c>
      <c r="AV73" s="109">
        <f>CC!$L$6</f>
        <v>20000</v>
      </c>
      <c r="AW73" s="109">
        <f>CC!$L$7</f>
        <v>23700</v>
      </c>
      <c r="AX73" s="109">
        <f>CC!$L$8</f>
        <v>0</v>
      </c>
      <c r="AY73" s="111">
        <f t="shared" si="50"/>
        <v>0.4238197424892704</v>
      </c>
    </row>
    <row r="74" spans="1:55" s="125" customFormat="1" x14ac:dyDescent="0.25">
      <c r="A74" s="141" t="s">
        <v>139</v>
      </c>
      <c r="B74" s="150"/>
      <c r="C74" s="143"/>
      <c r="D74" s="166"/>
      <c r="E74" s="144">
        <f t="shared" ref="E74:J74" si="51">SUM(E65:E73)</f>
        <v>87507121</v>
      </c>
      <c r="F74" s="145">
        <f t="shared" si="51"/>
        <v>106650623</v>
      </c>
      <c r="G74" s="145">
        <f t="shared" si="51"/>
        <v>0</v>
      </c>
      <c r="H74" s="146">
        <f t="shared" si="51"/>
        <v>-618000</v>
      </c>
      <c r="I74" s="145">
        <f t="shared" si="51"/>
        <v>-789373</v>
      </c>
      <c r="J74" s="145">
        <f t="shared" si="51"/>
        <v>-23378</v>
      </c>
      <c r="K74" s="147">
        <v>-1.2999999999999999E-2</v>
      </c>
      <c r="L74" s="355"/>
      <c r="M74" s="144">
        <f t="shared" ref="M74:R74" si="52">SUM(M65:M73)</f>
        <v>83319114</v>
      </c>
      <c r="N74" s="145">
        <f t="shared" si="52"/>
        <v>107575824</v>
      </c>
      <c r="O74" s="145">
        <f t="shared" si="52"/>
        <v>0</v>
      </c>
      <c r="P74" s="145">
        <f t="shared" si="52"/>
        <v>0</v>
      </c>
      <c r="Q74" s="145">
        <f t="shared" si="52"/>
        <v>-1663000</v>
      </c>
      <c r="R74" s="145">
        <f t="shared" si="52"/>
        <v>-1964344</v>
      </c>
      <c r="S74" s="147">
        <f>R74/N74</f>
        <v>-1.8260087879968273E-2</v>
      </c>
      <c r="T74" s="355"/>
      <c r="U74" s="148">
        <f t="shared" ref="U74:Z74" si="53">SUM(U65:U73)</f>
        <v>123229006</v>
      </c>
      <c r="V74" s="145">
        <f>SUM(V65:V73)</f>
        <v>98600235</v>
      </c>
      <c r="W74" s="145">
        <f t="shared" si="53"/>
        <v>-399000</v>
      </c>
      <c r="X74" s="145">
        <f t="shared" si="53"/>
        <v>-1707500</v>
      </c>
      <c r="Y74" s="145">
        <f t="shared" si="53"/>
        <v>-1824000</v>
      </c>
      <c r="Z74" s="145">
        <f t="shared" si="53"/>
        <v>-464130</v>
      </c>
      <c r="AA74" s="147">
        <f t="shared" si="48"/>
        <v>-3.7664022056625207E-3</v>
      </c>
      <c r="AB74" s="355"/>
      <c r="AC74" s="148">
        <v>131213356</v>
      </c>
      <c r="AD74" s="145">
        <v>105231089</v>
      </c>
      <c r="AE74" s="145">
        <v>-660000</v>
      </c>
      <c r="AF74" s="145">
        <v>-251000</v>
      </c>
      <c r="AG74" s="145">
        <v>-171000</v>
      </c>
      <c r="AH74" s="145">
        <v>-105633</v>
      </c>
      <c r="AI74" s="438">
        <f>AH74/AC74</f>
        <v>-8.0504762030475009E-4</v>
      </c>
      <c r="AJ74" s="449"/>
      <c r="AK74" s="419">
        <f>SUM(AK65:AK73)</f>
        <v>132562486</v>
      </c>
      <c r="AL74" s="145">
        <f>SUM(AL65:AL73)</f>
        <v>108749751</v>
      </c>
      <c r="AM74" s="145">
        <f>SUM(AM65:AM73)</f>
        <v>0</v>
      </c>
      <c r="AN74" s="145">
        <f>SUM(AN65:AN73)</f>
        <v>-656000</v>
      </c>
      <c r="AO74" s="145">
        <f>SUM(AO65:AO73)</f>
        <v>-807100</v>
      </c>
      <c r="AP74" s="145">
        <v>-1277898</v>
      </c>
      <c r="AQ74" s="438">
        <f t="shared" si="49"/>
        <v>-9.6399670718305634E-3</v>
      </c>
      <c r="AR74" s="449"/>
      <c r="AS74" s="148">
        <f>SUM(AS65:AS73)</f>
        <v>136311056.68000001</v>
      </c>
      <c r="AT74" s="145">
        <f>SUM(AT65:AT73)</f>
        <v>109707190.68000001</v>
      </c>
      <c r="AU74" s="145">
        <f t="shared" ref="AU74:AX74" si="54">SUM(AU65:AU73)</f>
        <v>-1521720</v>
      </c>
      <c r="AV74" s="145">
        <f t="shared" si="54"/>
        <v>-1525720</v>
      </c>
      <c r="AW74" s="145">
        <f t="shared" si="54"/>
        <v>-1732420</v>
      </c>
      <c r="AX74" s="145">
        <f t="shared" si="54"/>
        <v>0</v>
      </c>
      <c r="AY74" s="147">
        <f t="shared" si="50"/>
        <v>-1.270931384580915E-2</v>
      </c>
      <c r="AZ74" s="123"/>
      <c r="BA74" s="123"/>
    </row>
    <row r="75" spans="1:55" x14ac:dyDescent="0.25">
      <c r="A75" s="101"/>
      <c r="B75" s="99"/>
      <c r="C75" s="151"/>
      <c r="D75" s="166"/>
      <c r="E75" s="108"/>
      <c r="F75" s="109"/>
      <c r="G75" s="109"/>
      <c r="H75" s="110"/>
      <c r="I75" s="109"/>
      <c r="J75" s="109"/>
      <c r="K75" s="127"/>
      <c r="L75" s="166"/>
      <c r="M75" s="108"/>
      <c r="N75" s="109"/>
      <c r="O75" s="109"/>
      <c r="P75" s="109"/>
      <c r="Q75" s="109"/>
      <c r="R75" s="109"/>
      <c r="S75" s="127"/>
      <c r="T75" s="166"/>
      <c r="U75" s="112"/>
      <c r="V75" s="109"/>
      <c r="W75" s="109"/>
      <c r="X75" s="109"/>
      <c r="Y75" s="109"/>
      <c r="Z75" s="109"/>
      <c r="AA75" s="127"/>
      <c r="AB75" s="166"/>
      <c r="AC75" s="108"/>
      <c r="AD75" s="109"/>
      <c r="AE75" s="109"/>
      <c r="AF75" s="109"/>
      <c r="AG75" s="109"/>
      <c r="AH75" s="109"/>
      <c r="AI75" s="436"/>
      <c r="AJ75" s="448"/>
      <c r="AK75" s="423"/>
      <c r="AL75" s="109"/>
      <c r="AM75" s="109"/>
      <c r="AN75" s="109"/>
      <c r="AO75" s="109"/>
      <c r="AP75" s="109"/>
      <c r="AQ75" s="436"/>
      <c r="AR75" s="448"/>
      <c r="AS75" s="108"/>
      <c r="AT75" s="109"/>
      <c r="AU75" s="109"/>
      <c r="AV75" s="109"/>
      <c r="AW75" s="109"/>
      <c r="AX75" s="109"/>
      <c r="AY75" s="127"/>
      <c r="BB75" s="152"/>
      <c r="BC75" s="153"/>
    </row>
    <row r="76" spans="1:55" s="125" customFormat="1" ht="15.6" x14ac:dyDescent="0.25">
      <c r="A76" s="141" t="s">
        <v>265</v>
      </c>
      <c r="B76" s="150"/>
      <c r="C76" s="378"/>
      <c r="D76" s="166"/>
      <c r="E76" s="144"/>
      <c r="F76" s="145"/>
      <c r="G76" s="145"/>
      <c r="H76" s="146"/>
      <c r="I76" s="145"/>
      <c r="J76" s="145"/>
      <c r="K76" s="147"/>
      <c r="L76" s="355"/>
      <c r="M76" s="144">
        <f t="shared" ref="M76:R76" si="55">M74+M62</f>
        <v>-471272643</v>
      </c>
      <c r="N76" s="145">
        <f t="shared" si="55"/>
        <v>881329816</v>
      </c>
      <c r="O76" s="145">
        <f t="shared" si="55"/>
        <v>0</v>
      </c>
      <c r="P76" s="145">
        <f t="shared" si="55"/>
        <v>0</v>
      </c>
      <c r="Q76" s="145">
        <f t="shared" si="55"/>
        <v>9949570</v>
      </c>
      <c r="R76" s="145">
        <f t="shared" si="55"/>
        <v>11679183</v>
      </c>
      <c r="S76" s="147"/>
      <c r="T76" s="355"/>
      <c r="U76" s="148">
        <f t="shared" ref="U76:Z76" si="56">U74+U62</f>
        <v>1259650987</v>
      </c>
      <c r="V76" s="145">
        <f t="shared" si="56"/>
        <v>-493879977</v>
      </c>
      <c r="W76" s="145">
        <f t="shared" si="56"/>
        <v>-12453300</v>
      </c>
      <c r="X76" s="145">
        <f t="shared" si="56"/>
        <v>-14092300</v>
      </c>
      <c r="Y76" s="145">
        <f t="shared" si="56"/>
        <v>-6925800</v>
      </c>
      <c r="Z76" s="145">
        <f t="shared" si="56"/>
        <v>8412691.0800000001</v>
      </c>
      <c r="AA76" s="147">
        <f>Z76/U76</f>
        <v>6.6785888843986594E-3</v>
      </c>
      <c r="AB76" s="355"/>
      <c r="AC76" s="148">
        <v>789595935</v>
      </c>
      <c r="AD76" s="145">
        <v>-1500000</v>
      </c>
      <c r="AE76" s="145">
        <v>-2045000</v>
      </c>
      <c r="AF76" s="145">
        <v>1484000</v>
      </c>
      <c r="AG76" s="145">
        <v>840000</v>
      </c>
      <c r="AH76" s="145">
        <v>208605</v>
      </c>
      <c r="AI76" s="439">
        <f>AH76/AC76</f>
        <v>2.641920895907348E-4</v>
      </c>
      <c r="AJ76" s="449"/>
      <c r="AK76" s="419">
        <f>AK74+AK62</f>
        <v>769796550</v>
      </c>
      <c r="AL76" s="145">
        <f>AL74+AL62</f>
        <v>-1500000</v>
      </c>
      <c r="AM76" s="145">
        <f>AM74+AM62</f>
        <v>0</v>
      </c>
      <c r="AN76" s="145">
        <f>AN74+AN62</f>
        <v>1121500</v>
      </c>
      <c r="AO76" s="145">
        <f>AO74+AO62</f>
        <v>2307700</v>
      </c>
      <c r="AP76" s="145">
        <v>3961778</v>
      </c>
      <c r="AQ76" s="438">
        <f>AP76/AK76</f>
        <v>5.1465260528902081E-3</v>
      </c>
      <c r="AR76" s="449"/>
      <c r="AS76" s="148">
        <f t="shared" ref="AS76:AX76" si="57">AS74+AS62</f>
        <v>792004857.42000008</v>
      </c>
      <c r="AT76" s="145">
        <f t="shared" si="57"/>
        <v>-2499999.6799999624</v>
      </c>
      <c r="AU76" s="145">
        <f t="shared" si="57"/>
        <v>-3362720</v>
      </c>
      <c r="AV76" s="145">
        <f t="shared" si="57"/>
        <v>-5628020</v>
      </c>
      <c r="AW76" s="145">
        <f t="shared" si="57"/>
        <v>-5433920</v>
      </c>
      <c r="AX76" s="145">
        <f t="shared" si="57"/>
        <v>0</v>
      </c>
      <c r="AY76" s="147">
        <f>AW76/AS76</f>
        <v>-6.8609680219655434E-3</v>
      </c>
      <c r="AZ76" s="123"/>
      <c r="BA76" s="123"/>
    </row>
    <row r="77" spans="1:55" s="125" customFormat="1" x14ac:dyDescent="0.25">
      <c r="A77" s="156"/>
      <c r="B77" s="117"/>
      <c r="C77" s="155"/>
      <c r="D77" s="166"/>
      <c r="E77" s="119"/>
      <c r="F77" s="154"/>
      <c r="G77" s="154"/>
      <c r="H77" s="154"/>
      <c r="I77" s="154"/>
      <c r="J77" s="154"/>
      <c r="K77" s="122"/>
      <c r="L77" s="355"/>
      <c r="M77" s="119"/>
      <c r="N77" s="154"/>
      <c r="O77" s="154"/>
      <c r="P77" s="154"/>
      <c r="Q77" s="154"/>
      <c r="R77" s="154"/>
      <c r="S77" s="122"/>
      <c r="T77" s="355"/>
      <c r="U77" s="119"/>
      <c r="V77" s="154"/>
      <c r="W77" s="154"/>
      <c r="X77" s="154"/>
      <c r="Y77" s="154"/>
      <c r="Z77" s="154"/>
      <c r="AA77" s="122"/>
      <c r="AB77" s="355"/>
      <c r="AC77" s="124"/>
      <c r="AD77" s="120"/>
      <c r="AE77" s="120"/>
      <c r="AF77" s="120"/>
      <c r="AG77" s="120"/>
      <c r="AH77" s="120"/>
      <c r="AI77" s="354"/>
      <c r="AJ77" s="449"/>
      <c r="AK77" s="426"/>
      <c r="AL77" s="120"/>
      <c r="AM77" s="120"/>
      <c r="AN77" s="120"/>
      <c r="AO77" s="120"/>
      <c r="AP77" s="120"/>
      <c r="AQ77" s="354"/>
      <c r="AR77" s="449"/>
      <c r="AS77" s="124"/>
      <c r="AT77" s="120"/>
      <c r="AU77" s="120"/>
      <c r="AV77" s="120"/>
      <c r="AW77" s="120"/>
      <c r="AX77" s="120"/>
      <c r="AY77" s="122"/>
      <c r="AZ77" s="123"/>
      <c r="BA77" s="123"/>
    </row>
    <row r="78" spans="1:55" s="125" customFormat="1" x14ac:dyDescent="0.25">
      <c r="A78" s="156" t="s">
        <v>271</v>
      </c>
      <c r="B78" s="117"/>
      <c r="C78" s="155"/>
      <c r="D78" s="166"/>
      <c r="E78" s="119"/>
      <c r="F78" s="154"/>
      <c r="G78" s="154"/>
      <c r="H78" s="154"/>
      <c r="I78" s="154"/>
      <c r="J78" s="154"/>
      <c r="K78" s="122"/>
      <c r="L78" s="355"/>
      <c r="M78" s="119"/>
      <c r="N78" s="154"/>
      <c r="O78" s="154"/>
      <c r="P78" s="154"/>
      <c r="Q78" s="154"/>
      <c r="R78" s="154"/>
      <c r="S78" s="122"/>
      <c r="T78" s="355"/>
      <c r="U78" s="119"/>
      <c r="V78" s="154"/>
      <c r="W78" s="154"/>
      <c r="X78" s="154"/>
      <c r="Y78" s="154"/>
      <c r="Z78" s="154"/>
      <c r="AA78" s="122"/>
      <c r="AB78" s="355"/>
      <c r="AC78" s="119"/>
      <c r="AD78" s="120"/>
      <c r="AE78" s="120"/>
      <c r="AF78" s="120"/>
      <c r="AG78" s="120"/>
      <c r="AH78" s="120"/>
      <c r="AI78" s="354"/>
      <c r="AJ78" s="449"/>
      <c r="AK78" s="154"/>
      <c r="AL78" s="120"/>
      <c r="AM78" s="120"/>
      <c r="AN78" s="120"/>
      <c r="AO78" s="120"/>
      <c r="AP78" s="120"/>
      <c r="AQ78" s="354"/>
      <c r="AR78" s="449"/>
      <c r="AS78" s="119"/>
      <c r="AT78" s="120"/>
      <c r="AU78" s="120"/>
      <c r="AV78" s="120"/>
      <c r="AW78" s="120"/>
      <c r="AX78" s="120"/>
      <c r="AY78" s="122"/>
      <c r="AZ78" s="123"/>
      <c r="BA78" s="123"/>
    </row>
    <row r="79" spans="1:55" ht="15.6" collapsed="1" x14ac:dyDescent="0.25">
      <c r="A79" s="101"/>
      <c r="B79" s="115" t="s">
        <v>267</v>
      </c>
      <c r="C79" s="357"/>
      <c r="D79" s="166"/>
      <c r="E79" s="108"/>
      <c r="F79" s="109"/>
      <c r="G79" s="109"/>
      <c r="H79" s="110"/>
      <c r="I79" s="109"/>
      <c r="J79" s="109"/>
      <c r="K79" s="111"/>
      <c r="L79" s="166"/>
      <c r="M79" s="108"/>
      <c r="N79" s="109"/>
      <c r="O79" s="109"/>
      <c r="P79" s="109"/>
      <c r="Q79" s="109"/>
      <c r="R79" s="109"/>
      <c r="S79" s="111"/>
      <c r="T79" s="166"/>
      <c r="U79" s="112"/>
      <c r="V79" s="109"/>
      <c r="W79" s="109"/>
      <c r="X79" s="109"/>
      <c r="Y79" s="109"/>
      <c r="Z79" s="109"/>
      <c r="AA79" s="111"/>
      <c r="AB79" s="166"/>
      <c r="AC79" s="108"/>
      <c r="AD79" s="109"/>
      <c r="AE79" s="109"/>
      <c r="AF79" s="109"/>
      <c r="AG79" s="109"/>
      <c r="AH79" s="134"/>
      <c r="AI79" s="435"/>
      <c r="AJ79" s="448"/>
      <c r="AK79" s="423"/>
      <c r="AL79" s="109">
        <v>0</v>
      </c>
      <c r="AM79" s="109"/>
      <c r="AN79" s="109">
        <v>0</v>
      </c>
      <c r="AO79" s="109">
        <v>0</v>
      </c>
      <c r="AP79" s="109">
        <v>0</v>
      </c>
      <c r="AQ79" s="435"/>
      <c r="AR79" s="448"/>
      <c r="AS79" s="214">
        <v>0</v>
      </c>
      <c r="AT79" s="134">
        <v>0</v>
      </c>
      <c r="AU79" s="109">
        <v>0</v>
      </c>
      <c r="AV79" s="109">
        <v>1250000</v>
      </c>
      <c r="AW79" s="109">
        <v>1250000</v>
      </c>
      <c r="AX79" s="109"/>
      <c r="AY79" s="111"/>
      <c r="BA79" s="95"/>
    </row>
    <row r="80" spans="1:55" ht="15.6" x14ac:dyDescent="0.25">
      <c r="A80" s="101"/>
      <c r="B80" s="115" t="s">
        <v>268</v>
      </c>
      <c r="C80" s="357"/>
      <c r="D80" s="166"/>
      <c r="E80" s="108"/>
      <c r="F80" s="109"/>
      <c r="G80" s="109"/>
      <c r="H80" s="110"/>
      <c r="I80" s="109"/>
      <c r="J80" s="109"/>
      <c r="K80" s="111"/>
      <c r="L80" s="166"/>
      <c r="M80" s="108"/>
      <c r="N80" s="109"/>
      <c r="O80" s="109"/>
      <c r="P80" s="109"/>
      <c r="Q80" s="109"/>
      <c r="R80" s="109"/>
      <c r="S80" s="111"/>
      <c r="T80" s="166"/>
      <c r="U80" s="112"/>
      <c r="V80" s="109"/>
      <c r="W80" s="109"/>
      <c r="X80" s="109"/>
      <c r="Y80" s="109"/>
      <c r="Z80" s="109"/>
      <c r="AA80" s="111"/>
      <c r="AB80" s="166"/>
      <c r="AC80" s="108"/>
      <c r="AD80" s="109"/>
      <c r="AE80" s="109"/>
      <c r="AF80" s="109"/>
      <c r="AG80" s="109"/>
      <c r="AH80" s="134"/>
      <c r="AI80" s="435"/>
      <c r="AJ80" s="448"/>
      <c r="AK80" s="423"/>
      <c r="AL80" s="109">
        <v>0</v>
      </c>
      <c r="AM80" s="109"/>
      <c r="AN80" s="109">
        <v>0</v>
      </c>
      <c r="AO80" s="109">
        <v>0</v>
      </c>
      <c r="AP80" s="109">
        <v>0</v>
      </c>
      <c r="AQ80" s="435"/>
      <c r="AR80" s="448"/>
      <c r="AS80" s="214">
        <v>0</v>
      </c>
      <c r="AT80" s="134">
        <v>0</v>
      </c>
      <c r="AU80" s="109">
        <v>0</v>
      </c>
      <c r="AV80" s="109">
        <v>500000</v>
      </c>
      <c r="AW80" s="109">
        <v>500000</v>
      </c>
      <c r="AX80" s="109"/>
      <c r="AY80" s="111"/>
      <c r="BA80" s="95"/>
    </row>
    <row r="81" spans="1:53" ht="15.6" x14ac:dyDescent="0.25">
      <c r="A81" s="101"/>
      <c r="B81" s="115" t="s">
        <v>269</v>
      </c>
      <c r="C81" s="357"/>
      <c r="D81" s="166"/>
      <c r="E81" s="108"/>
      <c r="F81" s="109"/>
      <c r="G81" s="109"/>
      <c r="H81" s="110"/>
      <c r="I81" s="109"/>
      <c r="J81" s="109"/>
      <c r="K81" s="111"/>
      <c r="L81" s="166"/>
      <c r="M81" s="108"/>
      <c r="N81" s="109"/>
      <c r="O81" s="109"/>
      <c r="P81" s="109"/>
      <c r="Q81" s="109"/>
      <c r="R81" s="109"/>
      <c r="S81" s="111"/>
      <c r="T81" s="166"/>
      <c r="U81" s="112"/>
      <c r="V81" s="109"/>
      <c r="W81" s="109"/>
      <c r="X81" s="109"/>
      <c r="Y81" s="109"/>
      <c r="Z81" s="109"/>
      <c r="AA81" s="111"/>
      <c r="AB81" s="166"/>
      <c r="AC81" s="108"/>
      <c r="AD81" s="109"/>
      <c r="AE81" s="109"/>
      <c r="AF81" s="109"/>
      <c r="AG81" s="109"/>
      <c r="AH81" s="134"/>
      <c r="AI81" s="435"/>
      <c r="AJ81" s="448"/>
      <c r="AK81" s="423"/>
      <c r="AL81" s="109">
        <v>0</v>
      </c>
      <c r="AM81" s="109"/>
      <c r="AN81" s="109">
        <v>0</v>
      </c>
      <c r="AO81" s="109">
        <v>0</v>
      </c>
      <c r="AP81" s="109">
        <v>0</v>
      </c>
      <c r="AQ81" s="435"/>
      <c r="AR81" s="448"/>
      <c r="AS81" s="214">
        <v>0</v>
      </c>
      <c r="AT81" s="134">
        <v>0</v>
      </c>
      <c r="AU81" s="109">
        <v>0</v>
      </c>
      <c r="AV81" s="109">
        <v>240000</v>
      </c>
      <c r="AW81" s="109">
        <v>240000</v>
      </c>
      <c r="AX81" s="109"/>
      <c r="AY81" s="111"/>
      <c r="BA81" s="95"/>
    </row>
    <row r="82" spans="1:53" s="125" customFormat="1" x14ac:dyDescent="0.25">
      <c r="A82" s="141" t="s">
        <v>241</v>
      </c>
      <c r="B82" s="150"/>
      <c r="C82" s="378"/>
      <c r="D82" s="166"/>
      <c r="E82" s="144"/>
      <c r="F82" s="145"/>
      <c r="G82" s="145"/>
      <c r="H82" s="146"/>
      <c r="I82" s="145"/>
      <c r="J82" s="145"/>
      <c r="K82" s="147"/>
      <c r="L82" s="355"/>
      <c r="M82" s="144"/>
      <c r="N82" s="145"/>
      <c r="O82" s="145"/>
      <c r="P82" s="145"/>
      <c r="Q82" s="145"/>
      <c r="R82" s="145"/>
      <c r="S82" s="147"/>
      <c r="T82" s="355"/>
      <c r="U82" s="148"/>
      <c r="V82" s="145"/>
      <c r="W82" s="145"/>
      <c r="X82" s="145"/>
      <c r="Y82" s="145"/>
      <c r="Z82" s="145"/>
      <c r="AA82" s="147"/>
      <c r="AB82" s="355"/>
      <c r="AC82" s="148"/>
      <c r="AD82" s="145"/>
      <c r="AE82" s="145"/>
      <c r="AF82" s="145"/>
      <c r="AG82" s="145"/>
      <c r="AH82" s="145"/>
      <c r="AI82" s="438"/>
      <c r="AJ82" s="449"/>
      <c r="AK82" s="419"/>
      <c r="AL82" s="145">
        <f>SUM(AL78:AL81)</f>
        <v>0</v>
      </c>
      <c r="AM82" s="145"/>
      <c r="AN82" s="145">
        <f>SUM(AN78:AN81)</f>
        <v>0</v>
      </c>
      <c r="AO82" s="145">
        <v>0</v>
      </c>
      <c r="AP82" s="145">
        <f>SUM(AP78:AP81)</f>
        <v>0</v>
      </c>
      <c r="AQ82" s="438"/>
      <c r="AR82" s="449"/>
      <c r="AS82" s="148">
        <f>SUM(AS78:AS81)</f>
        <v>0</v>
      </c>
      <c r="AT82" s="145">
        <f>SUM(AT78:AT81)</f>
        <v>0</v>
      </c>
      <c r="AU82" s="145">
        <f>SUM(AU78:AU81)</f>
        <v>0</v>
      </c>
      <c r="AV82" s="145">
        <f>SUM(AV78:AV81)</f>
        <v>1990000</v>
      </c>
      <c r="AW82" s="145">
        <f>SUM(AW78:AW81)</f>
        <v>1990000</v>
      </c>
      <c r="AX82" s="145"/>
      <c r="AY82" s="147"/>
      <c r="AZ82" s="123"/>
      <c r="BA82" s="123"/>
    </row>
    <row r="83" spans="1:53" collapsed="1" x14ac:dyDescent="0.25">
      <c r="A83" s="101"/>
      <c r="B83" s="115"/>
      <c r="C83" s="357"/>
      <c r="D83" s="166"/>
      <c r="E83" s="108"/>
      <c r="F83" s="109"/>
      <c r="G83" s="109"/>
      <c r="H83" s="110"/>
      <c r="I83" s="109"/>
      <c r="J83" s="109"/>
      <c r="K83" s="111"/>
      <c r="L83" s="166"/>
      <c r="M83" s="108"/>
      <c r="N83" s="109"/>
      <c r="O83" s="109"/>
      <c r="P83" s="109"/>
      <c r="Q83" s="109"/>
      <c r="R83" s="109"/>
      <c r="S83" s="111"/>
      <c r="T83" s="166"/>
      <c r="U83" s="112"/>
      <c r="V83" s="109"/>
      <c r="W83" s="109"/>
      <c r="X83" s="109"/>
      <c r="Y83" s="109"/>
      <c r="Z83" s="109"/>
      <c r="AA83" s="111"/>
      <c r="AB83" s="166"/>
      <c r="AC83" s="108"/>
      <c r="AD83" s="109"/>
      <c r="AE83" s="109"/>
      <c r="AF83" s="109"/>
      <c r="AG83" s="109"/>
      <c r="AH83" s="134"/>
      <c r="AI83" s="435"/>
      <c r="AJ83" s="448"/>
      <c r="AK83" s="423"/>
      <c r="AL83" s="109"/>
      <c r="AM83" s="109"/>
      <c r="AN83" s="109"/>
      <c r="AO83" s="109"/>
      <c r="AP83" s="109"/>
      <c r="AQ83" s="435"/>
      <c r="AR83" s="448"/>
      <c r="AS83" s="214"/>
      <c r="AT83" s="134"/>
      <c r="AU83" s="109"/>
      <c r="AV83" s="109"/>
      <c r="AW83" s="109"/>
      <c r="AX83" s="109"/>
      <c r="AY83" s="111"/>
      <c r="BA83" s="95"/>
    </row>
    <row r="84" spans="1:53" s="125" customFormat="1" x14ac:dyDescent="0.25">
      <c r="A84" s="141" t="s">
        <v>242</v>
      </c>
      <c r="B84" s="150"/>
      <c r="C84" s="143"/>
      <c r="D84" s="166"/>
      <c r="E84" s="144"/>
      <c r="F84" s="145"/>
      <c r="G84" s="145"/>
      <c r="H84" s="146"/>
      <c r="I84" s="145"/>
      <c r="J84" s="145"/>
      <c r="K84" s="147"/>
      <c r="L84" s="355"/>
      <c r="M84" s="144"/>
      <c r="N84" s="145"/>
      <c r="O84" s="145"/>
      <c r="P84" s="145"/>
      <c r="Q84" s="145"/>
      <c r="R84" s="145"/>
      <c r="S84" s="147"/>
      <c r="T84" s="355"/>
      <c r="U84" s="148"/>
      <c r="V84" s="145"/>
      <c r="W84" s="145"/>
      <c r="X84" s="145"/>
      <c r="Y84" s="145"/>
      <c r="Z84" s="145"/>
      <c r="AA84" s="147"/>
      <c r="AB84" s="355"/>
      <c r="AC84" s="148"/>
      <c r="AD84" s="145"/>
      <c r="AE84" s="145"/>
      <c r="AF84" s="145"/>
      <c r="AG84" s="145"/>
      <c r="AH84" s="145"/>
      <c r="AI84" s="439"/>
      <c r="AJ84" s="449"/>
      <c r="AK84" s="419"/>
      <c r="AL84" s="145">
        <f>AL76+AL82</f>
        <v>-1500000</v>
      </c>
      <c r="AM84" s="145">
        <f>AM76+AM82</f>
        <v>0</v>
      </c>
      <c r="AN84" s="145">
        <f>AN76+AN82</f>
        <v>1121500</v>
      </c>
      <c r="AO84" s="419">
        <f>AO76+AO82</f>
        <v>2307700</v>
      </c>
      <c r="AP84" s="419">
        <f>AP76+AP82</f>
        <v>3961778</v>
      </c>
      <c r="AQ84" s="438"/>
      <c r="AR84" s="449"/>
      <c r="AS84" s="144">
        <f>AS76+AS82</f>
        <v>792004857.42000008</v>
      </c>
      <c r="AT84" s="145">
        <f>AT76+AT82</f>
        <v>-2499999.6799999624</v>
      </c>
      <c r="AU84" s="145">
        <f>AU76+AU82</f>
        <v>-3362720</v>
      </c>
      <c r="AV84" s="419">
        <f>AV76+AV82</f>
        <v>-3638020</v>
      </c>
      <c r="AW84" s="419">
        <f>AW76+AW82</f>
        <v>-3443920</v>
      </c>
      <c r="AX84" s="145"/>
      <c r="AY84" s="147"/>
      <c r="AZ84" s="123"/>
      <c r="BA84" s="123"/>
    </row>
    <row r="85" spans="1:53" x14ac:dyDescent="0.25">
      <c r="A85" s="101"/>
      <c r="B85" s="115"/>
      <c r="C85" s="357"/>
      <c r="D85" s="166"/>
      <c r="E85" s="108"/>
      <c r="F85" s="109"/>
      <c r="G85" s="109"/>
      <c r="H85" s="110"/>
      <c r="I85" s="109"/>
      <c r="J85" s="109"/>
      <c r="K85" s="111"/>
      <c r="L85" s="166"/>
      <c r="M85" s="108"/>
      <c r="N85" s="109"/>
      <c r="O85" s="109"/>
      <c r="P85" s="109"/>
      <c r="Q85" s="109"/>
      <c r="R85" s="109"/>
      <c r="S85" s="111"/>
      <c r="T85" s="166"/>
      <c r="U85" s="112"/>
      <c r="V85" s="109"/>
      <c r="W85" s="109"/>
      <c r="X85" s="109"/>
      <c r="Y85" s="109"/>
      <c r="Z85" s="109"/>
      <c r="AA85" s="111"/>
      <c r="AB85" s="166"/>
      <c r="AC85" s="108"/>
      <c r="AD85" s="109"/>
      <c r="AE85" s="109"/>
      <c r="AF85" s="109"/>
      <c r="AG85" s="109"/>
      <c r="AH85" s="134"/>
      <c r="AI85" s="435"/>
      <c r="AJ85" s="448"/>
      <c r="AK85" s="423"/>
      <c r="AL85" s="109"/>
      <c r="AM85" s="109"/>
      <c r="AN85" s="109"/>
      <c r="AO85" s="109"/>
      <c r="AP85" s="109"/>
      <c r="AQ85" s="435"/>
      <c r="AR85" s="448"/>
      <c r="AS85" s="214"/>
      <c r="AT85" s="134"/>
      <c r="AU85" s="109"/>
      <c r="AV85" s="109"/>
      <c r="AW85" s="109"/>
      <c r="AX85" s="109"/>
      <c r="AY85" s="111"/>
      <c r="BA85" s="95"/>
    </row>
    <row r="86" spans="1:53" x14ac:dyDescent="0.25">
      <c r="A86" s="101" t="s">
        <v>223</v>
      </c>
      <c r="B86" s="99"/>
      <c r="C86" s="357"/>
      <c r="D86" s="166"/>
      <c r="E86" s="108">
        <v>1500000</v>
      </c>
      <c r="F86" s="109">
        <v>1500000</v>
      </c>
      <c r="G86" s="109"/>
      <c r="H86" s="110">
        <v>1500000</v>
      </c>
      <c r="I86" s="109">
        <v>1500000</v>
      </c>
      <c r="J86" s="109">
        <v>1500000</v>
      </c>
      <c r="K86" s="111">
        <v>2E-3</v>
      </c>
      <c r="L86" s="166"/>
      <c r="M86" s="108">
        <v>1500000</v>
      </c>
      <c r="N86" s="109">
        <v>1500000</v>
      </c>
      <c r="O86" s="109"/>
      <c r="P86" s="109"/>
      <c r="Q86" s="109">
        <v>1500000</v>
      </c>
      <c r="R86" s="109">
        <v>1500000</v>
      </c>
      <c r="S86" s="111">
        <v>2E-3</v>
      </c>
      <c r="T86" s="166"/>
      <c r="U86" s="112">
        <v>1500000</v>
      </c>
      <c r="V86" s="109">
        <v>1500000</v>
      </c>
      <c r="W86" s="109">
        <v>1500000</v>
      </c>
      <c r="X86" s="109">
        <v>1500000</v>
      </c>
      <c r="Y86" s="109">
        <v>1500000</v>
      </c>
      <c r="Z86" s="109">
        <v>0</v>
      </c>
      <c r="AA86" s="358">
        <f>Y86/U86</f>
        <v>1</v>
      </c>
      <c r="AB86" s="166"/>
      <c r="AC86" s="108">
        <v>1500000</v>
      </c>
      <c r="AD86" s="109">
        <v>1500000</v>
      </c>
      <c r="AE86" s="109">
        <v>3000000</v>
      </c>
      <c r="AF86" s="109">
        <v>1500000</v>
      </c>
      <c r="AG86" s="109">
        <v>1500000</v>
      </c>
      <c r="AH86" s="109">
        <v>1500000</v>
      </c>
      <c r="AI86" s="440">
        <f t="shared" ref="AI86:AI88" si="58">AH86/AC86</f>
        <v>1</v>
      </c>
      <c r="AJ86" s="448"/>
      <c r="AK86" s="423">
        <f>1500000</f>
        <v>1500000</v>
      </c>
      <c r="AL86" s="109">
        <f>AK86</f>
        <v>1500000</v>
      </c>
      <c r="AM86" s="109"/>
      <c r="AN86" s="109">
        <f>AL86</f>
        <v>1500000</v>
      </c>
      <c r="AO86" s="109">
        <f>AN86</f>
        <v>1500000</v>
      </c>
      <c r="AP86" s="109">
        <v>1500000</v>
      </c>
      <c r="AQ86" s="440">
        <f t="shared" ref="AQ86" si="59">AP86/AK86</f>
        <v>1</v>
      </c>
      <c r="AR86" s="447"/>
      <c r="AS86" s="108">
        <v>2500000</v>
      </c>
      <c r="AT86" s="109">
        <v>2500000</v>
      </c>
      <c r="AU86" s="109">
        <v>2500000</v>
      </c>
      <c r="AV86" s="109">
        <v>2500000</v>
      </c>
      <c r="AW86" s="109">
        <v>2500000</v>
      </c>
      <c r="AX86" s="109"/>
      <c r="AY86" s="358">
        <f>AW86/AS86</f>
        <v>1</v>
      </c>
      <c r="AZ86" s="95"/>
      <c r="BA86" s="95"/>
    </row>
    <row r="87" spans="1:53" ht="6.75" customHeight="1" x14ac:dyDescent="0.25">
      <c r="A87" s="101"/>
      <c r="B87" s="99"/>
      <c r="C87" s="359"/>
      <c r="D87" s="166"/>
      <c r="E87" s="108"/>
      <c r="F87" s="109"/>
      <c r="G87" s="109"/>
      <c r="H87" s="110"/>
      <c r="I87" s="109"/>
      <c r="J87" s="109"/>
      <c r="K87" s="127"/>
      <c r="L87" s="166"/>
      <c r="M87" s="108"/>
      <c r="N87" s="109"/>
      <c r="O87" s="109"/>
      <c r="P87" s="109"/>
      <c r="Q87" s="109"/>
      <c r="R87" s="109"/>
      <c r="S87" s="127"/>
      <c r="T87" s="166"/>
      <c r="U87" s="112"/>
      <c r="V87" s="109"/>
      <c r="W87" s="109"/>
      <c r="X87" s="109"/>
      <c r="Y87" s="109"/>
      <c r="Z87" s="109"/>
      <c r="AA87" s="127"/>
      <c r="AB87" s="166"/>
      <c r="AC87" s="108"/>
      <c r="AD87" s="109"/>
      <c r="AE87" s="109"/>
      <c r="AF87" s="109"/>
      <c r="AG87" s="109"/>
      <c r="AH87" s="109"/>
      <c r="AI87" s="436"/>
      <c r="AJ87" s="448"/>
      <c r="AK87" s="423"/>
      <c r="AL87" s="109"/>
      <c r="AM87" s="109"/>
      <c r="AN87" s="109"/>
      <c r="AO87" s="109"/>
      <c r="AP87" s="109"/>
      <c r="AQ87" s="436"/>
      <c r="AR87" s="447"/>
      <c r="AS87" s="108"/>
      <c r="AT87" s="109"/>
      <c r="AU87" s="109"/>
      <c r="AV87" s="109"/>
      <c r="AW87" s="109"/>
      <c r="AX87" s="109"/>
      <c r="AY87" s="127"/>
      <c r="AZ87" s="95"/>
      <c r="BA87" s="95"/>
    </row>
    <row r="88" spans="1:53" s="125" customFormat="1" ht="13.8" thickBot="1" x14ac:dyDescent="0.3">
      <c r="A88" s="360" t="s">
        <v>264</v>
      </c>
      <c r="B88" s="361"/>
      <c r="C88" s="362"/>
      <c r="D88" s="166"/>
      <c r="E88" s="363">
        <f>E62+E74+E86+1</f>
        <v>-489968298</v>
      </c>
      <c r="F88" s="364">
        <f>F62+F74+F86</f>
        <v>873659870</v>
      </c>
      <c r="G88" s="364">
        <f>G62+G74+G86</f>
        <v>0</v>
      </c>
      <c r="H88" s="365">
        <f>H62+H74+H86</f>
        <v>-6051000</v>
      </c>
      <c r="I88" s="365">
        <f>I62+I74+I86</f>
        <v>-3692623</v>
      </c>
      <c r="J88" s="364">
        <f>J62+J74+J86</f>
        <v>12134237</v>
      </c>
      <c r="K88" s="366">
        <f>J88/F88</f>
        <v>1.3888971459797049E-2</v>
      </c>
      <c r="L88" s="355"/>
      <c r="M88" s="363">
        <f t="shared" ref="M88:R88" si="60">M62+M74+M86</f>
        <v>-469772643</v>
      </c>
      <c r="N88" s="365">
        <f t="shared" si="60"/>
        <v>882829816</v>
      </c>
      <c r="O88" s="365">
        <f t="shared" si="60"/>
        <v>0</v>
      </c>
      <c r="P88" s="365">
        <f t="shared" si="60"/>
        <v>0</v>
      </c>
      <c r="Q88" s="365">
        <f t="shared" si="60"/>
        <v>11449570</v>
      </c>
      <c r="R88" s="364">
        <f t="shared" si="60"/>
        <v>13179183</v>
      </c>
      <c r="S88" s="366">
        <f>R88/766978411</f>
        <v>1.7183251589593961E-2</v>
      </c>
      <c r="T88" s="355"/>
      <c r="U88" s="367">
        <f>U62+U74+U86</f>
        <v>1261150987</v>
      </c>
      <c r="V88" s="364">
        <f>V62+V74+V86</f>
        <v>-492379977</v>
      </c>
      <c r="W88" s="364">
        <f>W62+W74+W86</f>
        <v>-10953300</v>
      </c>
      <c r="X88" s="364">
        <f>X62+X74+X86</f>
        <v>-12592300</v>
      </c>
      <c r="Y88" s="364">
        <f>Y62+Y74+Y86</f>
        <v>-5425800</v>
      </c>
      <c r="Z88" s="364">
        <f>Z62+Z74+Z86+5</f>
        <v>8412696.0800000001</v>
      </c>
      <c r="AA88" s="366">
        <f>Z88/U88</f>
        <v>6.6706494041700341E-3</v>
      </c>
      <c r="AB88" s="355"/>
      <c r="AC88" s="363">
        <v>791095935</v>
      </c>
      <c r="AD88" s="364">
        <v>0</v>
      </c>
      <c r="AE88" s="364">
        <v>955000</v>
      </c>
      <c r="AF88" s="364">
        <v>2984000</v>
      </c>
      <c r="AG88" s="364">
        <v>2340000</v>
      </c>
      <c r="AH88" s="368">
        <v>1708605</v>
      </c>
      <c r="AI88" s="441">
        <f t="shared" si="58"/>
        <v>2.1597949432011682E-3</v>
      </c>
      <c r="AJ88" s="449"/>
      <c r="AK88" s="427">
        <f t="shared" ref="AK88:AP88" si="61">AK62+AK74+AK86</f>
        <v>771296550</v>
      </c>
      <c r="AL88" s="364">
        <f t="shared" si="61"/>
        <v>0</v>
      </c>
      <c r="AM88" s="364">
        <f t="shared" si="61"/>
        <v>0</v>
      </c>
      <c r="AN88" s="364">
        <f t="shared" si="61"/>
        <v>2621500</v>
      </c>
      <c r="AO88" s="364">
        <f t="shared" si="61"/>
        <v>3807700</v>
      </c>
      <c r="AP88" s="364">
        <f t="shared" si="61"/>
        <v>5461778</v>
      </c>
      <c r="AQ88" s="452">
        <f>AP88/AK88</f>
        <v>7.0812944774613605E-3</v>
      </c>
      <c r="AR88" s="454"/>
      <c r="AS88" s="367">
        <f>AS84+AS86</f>
        <v>794504857.42000008</v>
      </c>
      <c r="AT88" s="364">
        <f>AT62+AT74+AT86</f>
        <v>0.32000003755092621</v>
      </c>
      <c r="AU88" s="364">
        <f>AU84+AU86</f>
        <v>-862720</v>
      </c>
      <c r="AV88" s="364">
        <f>AV84+AV86</f>
        <v>-1138020</v>
      </c>
      <c r="AW88" s="364">
        <f>AW84+AW86</f>
        <v>-943920</v>
      </c>
      <c r="AX88" s="364">
        <f>AX62+AX74+AX86</f>
        <v>0</v>
      </c>
      <c r="AY88" s="369">
        <f>AW88/AS88</f>
        <v>-1.1880607037006627E-3</v>
      </c>
    </row>
    <row r="89" spans="1:53" s="356" customFormat="1" ht="7.5" hidden="1" customHeight="1" outlineLevel="1" thickTop="1" x14ac:dyDescent="0.25">
      <c r="A89" s="117"/>
      <c r="B89" s="117"/>
      <c r="C89" s="353"/>
      <c r="D89" s="166"/>
      <c r="E89" s="154"/>
      <c r="F89" s="154"/>
      <c r="G89" s="154"/>
      <c r="H89" s="154"/>
      <c r="I89" s="154"/>
      <c r="J89" s="154"/>
      <c r="K89" s="354"/>
      <c r="L89" s="355"/>
      <c r="M89" s="154"/>
      <c r="N89" s="154"/>
      <c r="O89" s="154"/>
      <c r="P89" s="154"/>
      <c r="Q89" s="154"/>
      <c r="R89" s="154"/>
      <c r="S89" s="354"/>
      <c r="T89" s="355"/>
      <c r="U89" s="154"/>
      <c r="V89" s="154"/>
      <c r="W89" s="154"/>
      <c r="X89" s="154"/>
      <c r="Y89" s="154"/>
      <c r="Z89" s="154"/>
      <c r="AA89" s="354"/>
      <c r="AB89" s="355"/>
      <c r="AC89" s="154"/>
      <c r="AD89" s="154"/>
      <c r="AE89" s="154"/>
      <c r="AF89" s="154"/>
      <c r="AG89" s="154"/>
      <c r="AH89" s="154"/>
      <c r="AI89" s="354"/>
      <c r="AJ89" s="449"/>
      <c r="AK89" s="154"/>
      <c r="AL89" s="154"/>
      <c r="AM89" s="154"/>
      <c r="AN89" s="154"/>
      <c r="AO89" s="154"/>
      <c r="AP89" s="154"/>
      <c r="AQ89" s="354"/>
      <c r="AR89" s="449"/>
      <c r="AS89" s="119"/>
      <c r="AT89" s="154"/>
      <c r="AU89" s="154"/>
      <c r="AV89" s="154"/>
      <c r="AW89" s="154"/>
      <c r="AX89" s="154"/>
      <c r="AY89" s="122"/>
      <c r="AZ89" s="355"/>
      <c r="BA89" s="355"/>
    </row>
    <row r="90" spans="1:53" s="356" customFormat="1" ht="7.5" hidden="1" customHeight="1" outlineLevel="1" x14ac:dyDescent="0.25">
      <c r="A90" s="117"/>
      <c r="B90" s="117"/>
      <c r="C90" s="353"/>
      <c r="D90" s="166"/>
      <c r="E90" s="154"/>
      <c r="F90" s="154"/>
      <c r="G90" s="154"/>
      <c r="H90" s="154"/>
      <c r="I90" s="154"/>
      <c r="J90" s="154"/>
      <c r="K90" s="354"/>
      <c r="L90" s="355"/>
      <c r="M90" s="154"/>
      <c r="N90" s="154"/>
      <c r="O90" s="154"/>
      <c r="P90" s="154"/>
      <c r="Q90" s="154"/>
      <c r="R90" s="154"/>
      <c r="S90" s="354"/>
      <c r="T90" s="355"/>
      <c r="U90" s="154"/>
      <c r="V90" s="154"/>
      <c r="W90" s="154"/>
      <c r="X90" s="154"/>
      <c r="Y90" s="154"/>
      <c r="Z90" s="154"/>
      <c r="AA90" s="354"/>
      <c r="AB90" s="355"/>
      <c r="AC90" s="154"/>
      <c r="AD90" s="154"/>
      <c r="AE90" s="154"/>
      <c r="AF90" s="154"/>
      <c r="AG90" s="154"/>
      <c r="AH90" s="154"/>
      <c r="AI90" s="354"/>
      <c r="AJ90" s="449"/>
      <c r="AK90" s="154"/>
      <c r="AL90" s="154"/>
      <c r="AM90" s="154"/>
      <c r="AN90" s="154"/>
      <c r="AO90" s="154"/>
      <c r="AP90" s="154"/>
      <c r="AQ90" s="354"/>
      <c r="AR90" s="449"/>
      <c r="AS90" s="119"/>
      <c r="AT90" s="154"/>
      <c r="AU90" s="154"/>
      <c r="AV90" s="154"/>
      <c r="AW90" s="154"/>
      <c r="AX90" s="154"/>
      <c r="AY90" s="122"/>
      <c r="AZ90" s="355"/>
      <c r="BA90" s="355"/>
    </row>
    <row r="91" spans="1:53" s="356" customFormat="1" ht="7.5" hidden="1" customHeight="1" outlineLevel="1" x14ac:dyDescent="0.25">
      <c r="A91" s="117"/>
      <c r="B91" s="117"/>
      <c r="C91" s="353"/>
      <c r="D91" s="166"/>
      <c r="E91" s="154"/>
      <c r="F91" s="154"/>
      <c r="G91" s="154"/>
      <c r="H91" s="154"/>
      <c r="I91" s="154"/>
      <c r="J91" s="154"/>
      <c r="K91" s="354"/>
      <c r="L91" s="355"/>
      <c r="M91" s="154"/>
      <c r="N91" s="154"/>
      <c r="O91" s="154"/>
      <c r="P91" s="154"/>
      <c r="Q91" s="154"/>
      <c r="R91" s="154"/>
      <c r="S91" s="354"/>
      <c r="T91" s="355"/>
      <c r="U91" s="154"/>
      <c r="V91" s="154"/>
      <c r="W91" s="154"/>
      <c r="X91" s="154"/>
      <c r="Y91" s="154"/>
      <c r="Z91" s="154"/>
      <c r="AA91" s="354"/>
      <c r="AB91" s="355"/>
      <c r="AC91" s="154"/>
      <c r="AD91" s="154"/>
      <c r="AE91" s="154"/>
      <c r="AF91" s="154"/>
      <c r="AG91" s="154"/>
      <c r="AH91" s="154"/>
      <c r="AI91" s="354"/>
      <c r="AJ91" s="449"/>
      <c r="AK91" s="154"/>
      <c r="AL91" s="154"/>
      <c r="AM91" s="154"/>
      <c r="AN91" s="154"/>
      <c r="AO91" s="154"/>
      <c r="AP91" s="154"/>
      <c r="AQ91" s="354"/>
      <c r="AR91" s="449"/>
      <c r="AS91" s="119"/>
      <c r="AT91" s="154"/>
      <c r="AU91" s="154"/>
      <c r="AV91" s="154"/>
      <c r="AW91" s="154"/>
      <c r="AX91" s="154"/>
      <c r="AY91" s="122"/>
      <c r="AZ91" s="355"/>
      <c r="BA91" s="355"/>
    </row>
    <row r="92" spans="1:53" s="356" customFormat="1" ht="7.5" hidden="1" customHeight="1" outlineLevel="1" x14ac:dyDescent="0.25">
      <c r="A92" s="117"/>
      <c r="B92" s="117"/>
      <c r="C92" s="353"/>
      <c r="D92" s="166"/>
      <c r="E92" s="154"/>
      <c r="F92" s="154"/>
      <c r="G92" s="154"/>
      <c r="H92" s="154"/>
      <c r="I92" s="154"/>
      <c r="J92" s="154"/>
      <c r="K92" s="354"/>
      <c r="L92" s="355"/>
      <c r="M92" s="154"/>
      <c r="N92" s="154"/>
      <c r="O92" s="154"/>
      <c r="P92" s="154"/>
      <c r="Q92" s="154"/>
      <c r="R92" s="154"/>
      <c r="S92" s="354"/>
      <c r="T92" s="355"/>
      <c r="U92" s="154"/>
      <c r="V92" s="154"/>
      <c r="W92" s="154"/>
      <c r="X92" s="154"/>
      <c r="Y92" s="154"/>
      <c r="Z92" s="154"/>
      <c r="AA92" s="354"/>
      <c r="AB92" s="355"/>
      <c r="AC92" s="154"/>
      <c r="AD92" s="154"/>
      <c r="AE92" s="154"/>
      <c r="AF92" s="154"/>
      <c r="AG92" s="154"/>
      <c r="AH92" s="154"/>
      <c r="AI92" s="354"/>
      <c r="AJ92" s="449"/>
      <c r="AK92" s="154"/>
      <c r="AL92" s="154"/>
      <c r="AM92" s="154"/>
      <c r="AN92" s="154"/>
      <c r="AO92" s="154"/>
      <c r="AP92" s="154"/>
      <c r="AQ92" s="354"/>
      <c r="AR92" s="449"/>
      <c r="AS92" s="119"/>
      <c r="AT92" s="154"/>
      <c r="AU92" s="154"/>
      <c r="AV92" s="154"/>
      <c r="AW92" s="154"/>
      <c r="AX92" s="154"/>
      <c r="AY92" s="122"/>
      <c r="AZ92" s="355"/>
      <c r="BA92" s="355"/>
    </row>
    <row r="93" spans="1:53" s="356" customFormat="1" ht="7.5" hidden="1" customHeight="1" outlineLevel="1" x14ac:dyDescent="0.25">
      <c r="A93" s="117"/>
      <c r="B93" s="117"/>
      <c r="C93" s="353"/>
      <c r="D93" s="166"/>
      <c r="E93" s="154"/>
      <c r="F93" s="154"/>
      <c r="G93" s="154"/>
      <c r="H93" s="154"/>
      <c r="I93" s="154"/>
      <c r="J93" s="154"/>
      <c r="K93" s="354"/>
      <c r="L93" s="355"/>
      <c r="M93" s="154"/>
      <c r="N93" s="154"/>
      <c r="O93" s="154"/>
      <c r="P93" s="154"/>
      <c r="Q93" s="154"/>
      <c r="R93" s="154"/>
      <c r="S93" s="354"/>
      <c r="T93" s="355"/>
      <c r="U93" s="154"/>
      <c r="V93" s="154"/>
      <c r="W93" s="154"/>
      <c r="X93" s="154"/>
      <c r="Y93" s="154"/>
      <c r="Z93" s="154"/>
      <c r="AA93" s="354"/>
      <c r="AB93" s="355"/>
      <c r="AC93" s="154"/>
      <c r="AD93" s="154"/>
      <c r="AE93" s="154"/>
      <c r="AF93" s="154"/>
      <c r="AG93" s="154"/>
      <c r="AH93" s="154"/>
      <c r="AI93" s="354"/>
      <c r="AJ93" s="449"/>
      <c r="AK93" s="154"/>
      <c r="AL93" s="154"/>
      <c r="AM93" s="154"/>
      <c r="AN93" s="154"/>
      <c r="AO93" s="154"/>
      <c r="AP93" s="154"/>
      <c r="AQ93" s="354"/>
      <c r="AR93" s="449"/>
      <c r="AS93" s="119"/>
      <c r="AT93" s="154"/>
      <c r="AU93" s="154"/>
      <c r="AV93" s="154"/>
      <c r="AW93" s="154"/>
      <c r="AX93" s="154"/>
      <c r="AY93" s="122"/>
      <c r="AZ93" s="355"/>
      <c r="BA93" s="355"/>
    </row>
    <row r="94" spans="1:53" s="236" customFormat="1" ht="26.25" hidden="1" customHeight="1" outlineLevel="1" x14ac:dyDescent="0.25">
      <c r="A94" s="521" t="s">
        <v>140</v>
      </c>
      <c r="B94" s="522"/>
      <c r="C94" s="523"/>
      <c r="D94" s="433"/>
      <c r="E94" s="232"/>
      <c r="F94" s="233"/>
      <c r="G94" s="233"/>
      <c r="H94" s="233"/>
      <c r="I94" s="233"/>
      <c r="J94" s="233"/>
      <c r="K94" s="234"/>
      <c r="L94" s="434"/>
      <c r="M94" s="232"/>
      <c r="N94" s="233"/>
      <c r="O94" s="233"/>
      <c r="P94" s="233"/>
      <c r="Q94" s="233"/>
      <c r="R94" s="233"/>
      <c r="S94" s="234"/>
      <c r="T94" s="434"/>
      <c r="U94" s="232"/>
      <c r="V94" s="233"/>
      <c r="W94" s="233"/>
      <c r="X94" s="233"/>
      <c r="Y94" s="233"/>
      <c r="Z94" s="233"/>
      <c r="AA94" s="234"/>
      <c r="AB94" s="434"/>
      <c r="AC94" s="350"/>
      <c r="AD94" s="351"/>
      <c r="AE94" s="351"/>
      <c r="AF94" s="351"/>
      <c r="AG94" s="351"/>
      <c r="AH94" s="351">
        <v>1048621</v>
      </c>
      <c r="AI94" s="442"/>
      <c r="AJ94" s="451"/>
      <c r="AK94" s="428"/>
      <c r="AL94" s="351"/>
      <c r="AM94" s="351"/>
      <c r="AN94" s="351"/>
      <c r="AO94" s="351"/>
      <c r="AP94" s="351" t="e">
        <f>+#REF!+#REF!</f>
        <v>#REF!</v>
      </c>
      <c r="AQ94" s="442" t="e">
        <f>AN94/#REF!</f>
        <v>#REF!</v>
      </c>
      <c r="AR94" s="451"/>
      <c r="AS94" s="350"/>
      <c r="AT94" s="351"/>
      <c r="AU94" s="351"/>
      <c r="AV94" s="351"/>
      <c r="AW94" s="351"/>
      <c r="AX94" s="351" t="e">
        <f>+#REF!+#REF!</f>
        <v>#REF!</v>
      </c>
      <c r="AY94" s="352" t="e">
        <f>AV94/#REF!</f>
        <v>#REF!</v>
      </c>
      <c r="AZ94" s="235"/>
      <c r="BA94" s="235"/>
    </row>
    <row r="95" spans="1:53" s="236" customFormat="1" ht="7.5" hidden="1" customHeight="1" outlineLevel="1" x14ac:dyDescent="0.25">
      <c r="A95" s="237"/>
      <c r="B95" s="238"/>
      <c r="C95" s="239"/>
      <c r="D95" s="433"/>
      <c r="E95" s="232"/>
      <c r="F95" s="233"/>
      <c r="G95" s="233"/>
      <c r="H95" s="233"/>
      <c r="I95" s="233"/>
      <c r="J95" s="233"/>
      <c r="K95" s="234"/>
      <c r="L95" s="434"/>
      <c r="M95" s="232"/>
      <c r="N95" s="233"/>
      <c r="O95" s="233"/>
      <c r="P95" s="233"/>
      <c r="Q95" s="233"/>
      <c r="R95" s="233"/>
      <c r="S95" s="234"/>
      <c r="T95" s="434"/>
      <c r="U95" s="232"/>
      <c r="V95" s="233"/>
      <c r="W95" s="233"/>
      <c r="X95" s="233"/>
      <c r="Y95" s="233"/>
      <c r="Z95" s="233"/>
      <c r="AA95" s="234"/>
      <c r="AB95" s="434"/>
      <c r="AC95" s="240"/>
      <c r="AD95" s="241"/>
      <c r="AE95" s="241"/>
      <c r="AF95" s="241"/>
      <c r="AG95" s="241"/>
      <c r="AH95" s="241"/>
      <c r="AI95" s="443"/>
      <c r="AJ95" s="451"/>
      <c r="AK95" s="429"/>
      <c r="AL95" s="241"/>
      <c r="AM95" s="241"/>
      <c r="AN95" s="241"/>
      <c r="AO95" s="241"/>
      <c r="AP95" s="241"/>
      <c r="AQ95" s="443"/>
      <c r="AR95" s="451"/>
      <c r="AS95" s="240"/>
      <c r="AT95" s="241"/>
      <c r="AU95" s="241"/>
      <c r="AV95" s="241"/>
      <c r="AW95" s="241"/>
      <c r="AX95" s="241"/>
      <c r="AY95" s="242"/>
      <c r="AZ95" s="235"/>
      <c r="BA95" s="235"/>
    </row>
    <row r="96" spans="1:53" s="236" customFormat="1" ht="14.4" hidden="1" outlineLevel="1" thickTop="1" thickBot="1" x14ac:dyDescent="0.3">
      <c r="A96" s="237"/>
      <c r="B96" s="224" t="s">
        <v>141</v>
      </c>
      <c r="C96" s="239"/>
      <c r="D96" s="433"/>
      <c r="E96" s="232"/>
      <c r="F96" s="233"/>
      <c r="G96" s="233"/>
      <c r="H96" s="233"/>
      <c r="I96" s="233"/>
      <c r="J96" s="233"/>
      <c r="K96" s="234"/>
      <c r="L96" s="434"/>
      <c r="M96" s="232"/>
      <c r="N96" s="233"/>
      <c r="O96" s="233"/>
      <c r="P96" s="233"/>
      <c r="Q96" s="233"/>
      <c r="R96" s="233"/>
      <c r="S96" s="234"/>
      <c r="T96" s="434"/>
      <c r="U96" s="232"/>
      <c r="V96" s="233"/>
      <c r="W96" s="233"/>
      <c r="X96" s="233"/>
      <c r="Y96" s="233"/>
      <c r="Z96" s="233"/>
      <c r="AA96" s="234"/>
      <c r="AB96" s="434"/>
      <c r="AC96" s="240"/>
      <c r="AD96" s="241"/>
      <c r="AE96" s="241"/>
      <c r="AF96" s="241"/>
      <c r="AG96" s="241"/>
      <c r="AH96" s="228">
        <v>-404171</v>
      </c>
      <c r="AI96" s="444"/>
      <c r="AJ96" s="451"/>
      <c r="AK96" s="429"/>
      <c r="AL96" s="241"/>
      <c r="AM96" s="241"/>
      <c r="AN96" s="241"/>
      <c r="AO96" s="241"/>
      <c r="AP96" s="228"/>
      <c r="AQ96" s="444"/>
      <c r="AR96" s="451"/>
      <c r="AS96" s="240"/>
      <c r="AT96" s="241"/>
      <c r="AU96" s="241"/>
      <c r="AV96" s="241"/>
      <c r="AW96" s="241"/>
      <c r="AX96" s="228"/>
      <c r="AY96" s="234"/>
      <c r="AZ96" s="235"/>
      <c r="BA96" s="235"/>
    </row>
    <row r="97" spans="1:53" s="236" customFormat="1" ht="7.5" hidden="1" customHeight="1" outlineLevel="1" x14ac:dyDescent="0.25">
      <c r="A97" s="237"/>
      <c r="B97" s="238"/>
      <c r="C97" s="239"/>
      <c r="D97" s="433"/>
      <c r="E97" s="232"/>
      <c r="F97" s="233"/>
      <c r="G97" s="233"/>
      <c r="H97" s="233"/>
      <c r="I97" s="233"/>
      <c r="J97" s="233"/>
      <c r="K97" s="234"/>
      <c r="L97" s="434"/>
      <c r="M97" s="232"/>
      <c r="N97" s="233"/>
      <c r="O97" s="233"/>
      <c r="P97" s="233"/>
      <c r="Q97" s="233"/>
      <c r="R97" s="233"/>
      <c r="S97" s="234"/>
      <c r="T97" s="434"/>
      <c r="U97" s="232"/>
      <c r="V97" s="233"/>
      <c r="W97" s="233"/>
      <c r="X97" s="233"/>
      <c r="Y97" s="233"/>
      <c r="Z97" s="233"/>
      <c r="AA97" s="234"/>
      <c r="AB97" s="434"/>
      <c r="AC97" s="240"/>
      <c r="AD97" s="241"/>
      <c r="AE97" s="241"/>
      <c r="AF97" s="241"/>
      <c r="AG97" s="241"/>
      <c r="AH97" s="241"/>
      <c r="AI97" s="444"/>
      <c r="AJ97" s="451"/>
      <c r="AK97" s="429"/>
      <c r="AL97" s="241"/>
      <c r="AM97" s="241"/>
      <c r="AN97" s="241"/>
      <c r="AO97" s="241"/>
      <c r="AP97" s="241"/>
      <c r="AQ97" s="444"/>
      <c r="AR97" s="451"/>
      <c r="AS97" s="240"/>
      <c r="AT97" s="241"/>
      <c r="AU97" s="241"/>
      <c r="AV97" s="241"/>
      <c r="AW97" s="241"/>
      <c r="AX97" s="241"/>
      <c r="AY97" s="234"/>
      <c r="AZ97" s="235"/>
      <c r="BA97" s="235"/>
    </row>
    <row r="98" spans="1:53" s="236" customFormat="1" ht="14.4" hidden="1" outlineLevel="1" thickTop="1" thickBot="1" x14ac:dyDescent="0.3">
      <c r="A98" s="237"/>
      <c r="B98" s="224" t="s">
        <v>142</v>
      </c>
      <c r="C98" s="239"/>
      <c r="D98" s="433"/>
      <c r="E98" s="232"/>
      <c r="F98" s="233"/>
      <c r="G98" s="233"/>
      <c r="H98" s="233"/>
      <c r="I98" s="233"/>
      <c r="J98" s="233"/>
      <c r="K98" s="234"/>
      <c r="L98" s="434"/>
      <c r="M98" s="232"/>
      <c r="N98" s="233"/>
      <c r="O98" s="233"/>
      <c r="P98" s="233"/>
      <c r="Q98" s="233"/>
      <c r="R98" s="233"/>
      <c r="S98" s="234"/>
      <c r="T98" s="434"/>
      <c r="U98" s="232"/>
      <c r="V98" s="233"/>
      <c r="W98" s="233"/>
      <c r="X98" s="233"/>
      <c r="Y98" s="233"/>
      <c r="Z98" s="233"/>
      <c r="AA98" s="234"/>
      <c r="AB98" s="434"/>
      <c r="AC98" s="231"/>
      <c r="AD98" s="228"/>
      <c r="AE98" s="228"/>
      <c r="AF98" s="228"/>
      <c r="AG98" s="228"/>
      <c r="AH98" s="228">
        <v>-41500</v>
      </c>
      <c r="AI98" s="444"/>
      <c r="AJ98" s="451"/>
      <c r="AK98" s="430"/>
      <c r="AL98" s="228"/>
      <c r="AM98" s="228"/>
      <c r="AN98" s="228"/>
      <c r="AO98" s="228"/>
      <c r="AP98" s="228"/>
      <c r="AQ98" s="444"/>
      <c r="AR98" s="451"/>
      <c r="AS98" s="231"/>
      <c r="AT98" s="228"/>
      <c r="AU98" s="228"/>
      <c r="AV98" s="228"/>
      <c r="AW98" s="228"/>
      <c r="AX98" s="228"/>
      <c r="AY98" s="234"/>
      <c r="AZ98" s="235"/>
      <c r="BA98" s="235"/>
    </row>
    <row r="99" spans="1:53" s="236" customFormat="1" ht="14.4" hidden="1" outlineLevel="1" thickTop="1" thickBot="1" x14ac:dyDescent="0.3">
      <c r="A99" s="237"/>
      <c r="B99" s="224" t="s">
        <v>143</v>
      </c>
      <c r="C99" s="239"/>
      <c r="D99" s="433"/>
      <c r="E99" s="232"/>
      <c r="F99" s="233"/>
      <c r="G99" s="233"/>
      <c r="H99" s="233"/>
      <c r="I99" s="233"/>
      <c r="J99" s="233"/>
      <c r="K99" s="234"/>
      <c r="L99" s="434"/>
      <c r="M99" s="232"/>
      <c r="N99" s="233"/>
      <c r="O99" s="233"/>
      <c r="P99" s="233"/>
      <c r="Q99" s="233"/>
      <c r="R99" s="233"/>
      <c r="S99" s="234"/>
      <c r="T99" s="434"/>
      <c r="U99" s="232"/>
      <c r="V99" s="233"/>
      <c r="W99" s="233"/>
      <c r="X99" s="233"/>
      <c r="Y99" s="233"/>
      <c r="Z99" s="233"/>
      <c r="AA99" s="234"/>
      <c r="AB99" s="434"/>
      <c r="AC99" s="231"/>
      <c r="AD99" s="228"/>
      <c r="AE99" s="228"/>
      <c r="AF99" s="228"/>
      <c r="AG99" s="228"/>
      <c r="AH99" s="228">
        <v>-93100</v>
      </c>
      <c r="AI99" s="444"/>
      <c r="AJ99" s="451"/>
      <c r="AK99" s="430"/>
      <c r="AL99" s="228"/>
      <c r="AM99" s="228"/>
      <c r="AN99" s="228"/>
      <c r="AO99" s="228"/>
      <c r="AP99" s="228"/>
      <c r="AQ99" s="444"/>
      <c r="AR99" s="451"/>
      <c r="AS99" s="231"/>
      <c r="AT99" s="228"/>
      <c r="AU99" s="228"/>
      <c r="AV99" s="228"/>
      <c r="AW99" s="228"/>
      <c r="AX99" s="228"/>
      <c r="AY99" s="234"/>
      <c r="AZ99" s="235"/>
      <c r="BA99" s="235"/>
    </row>
    <row r="100" spans="1:53" s="236" customFormat="1" ht="14.4" hidden="1" outlineLevel="1" thickTop="1" thickBot="1" x14ac:dyDescent="0.3">
      <c r="A100" s="237"/>
      <c r="B100" s="224" t="s">
        <v>144</v>
      </c>
      <c r="C100" s="239"/>
      <c r="D100" s="433"/>
      <c r="E100" s="232"/>
      <c r="F100" s="233"/>
      <c r="G100" s="233"/>
      <c r="H100" s="233"/>
      <c r="I100" s="233"/>
      <c r="J100" s="233"/>
      <c r="K100" s="234"/>
      <c r="L100" s="434"/>
      <c r="M100" s="232"/>
      <c r="N100" s="233"/>
      <c r="O100" s="233"/>
      <c r="P100" s="233"/>
      <c r="Q100" s="233"/>
      <c r="R100" s="233"/>
      <c r="S100" s="234"/>
      <c r="T100" s="434"/>
      <c r="U100" s="232"/>
      <c r="V100" s="233"/>
      <c r="W100" s="233"/>
      <c r="X100" s="233"/>
      <c r="Y100" s="233"/>
      <c r="Z100" s="233"/>
      <c r="AA100" s="234"/>
      <c r="AB100" s="434"/>
      <c r="AC100" s="231"/>
      <c r="AD100" s="228"/>
      <c r="AE100" s="228"/>
      <c r="AF100" s="228"/>
      <c r="AG100" s="228"/>
      <c r="AH100" s="228">
        <v>-15000</v>
      </c>
      <c r="AI100" s="444"/>
      <c r="AJ100" s="451"/>
      <c r="AK100" s="430"/>
      <c r="AL100" s="228"/>
      <c r="AM100" s="228"/>
      <c r="AN100" s="228"/>
      <c r="AO100" s="228"/>
      <c r="AP100" s="228"/>
      <c r="AQ100" s="444"/>
      <c r="AR100" s="451"/>
      <c r="AS100" s="231"/>
      <c r="AT100" s="228"/>
      <c r="AU100" s="228"/>
      <c r="AV100" s="228"/>
      <c r="AW100" s="228"/>
      <c r="AX100" s="228"/>
      <c r="AY100" s="234"/>
      <c r="AZ100" s="235"/>
      <c r="BA100" s="235"/>
    </row>
    <row r="101" spans="1:53" s="236" customFormat="1" ht="14.4" hidden="1" outlineLevel="1" thickTop="1" thickBot="1" x14ac:dyDescent="0.3">
      <c r="A101" s="237"/>
      <c r="B101" s="224" t="s">
        <v>145</v>
      </c>
      <c r="C101" s="239"/>
      <c r="D101" s="433"/>
      <c r="E101" s="232"/>
      <c r="F101" s="233"/>
      <c r="G101" s="233"/>
      <c r="H101" s="233"/>
      <c r="I101" s="233"/>
      <c r="J101" s="233"/>
      <c r="K101" s="234"/>
      <c r="L101" s="434"/>
      <c r="M101" s="232"/>
      <c r="N101" s="233"/>
      <c r="O101" s="233"/>
      <c r="P101" s="233"/>
      <c r="Q101" s="233"/>
      <c r="R101" s="233"/>
      <c r="S101" s="234"/>
      <c r="T101" s="434"/>
      <c r="U101" s="232"/>
      <c r="V101" s="233"/>
      <c r="W101" s="233"/>
      <c r="X101" s="233"/>
      <c r="Y101" s="233"/>
      <c r="Z101" s="233"/>
      <c r="AA101" s="234"/>
      <c r="AB101" s="434"/>
      <c r="AC101" s="231"/>
      <c r="AD101" s="228"/>
      <c r="AE101" s="228"/>
      <c r="AF101" s="228"/>
      <c r="AG101" s="228"/>
      <c r="AH101" s="228">
        <v>-100000</v>
      </c>
      <c r="AI101" s="444"/>
      <c r="AJ101" s="451"/>
      <c r="AK101" s="430"/>
      <c r="AL101" s="228"/>
      <c r="AM101" s="228"/>
      <c r="AN101" s="228"/>
      <c r="AO101" s="228"/>
      <c r="AP101" s="228"/>
      <c r="AQ101" s="444"/>
      <c r="AR101" s="451"/>
      <c r="AS101" s="231"/>
      <c r="AT101" s="228"/>
      <c r="AU101" s="228"/>
      <c r="AV101" s="228"/>
      <c r="AW101" s="228"/>
      <c r="AX101" s="228"/>
      <c r="AY101" s="234"/>
      <c r="AZ101" s="235"/>
      <c r="BA101" s="235"/>
    </row>
    <row r="102" spans="1:53" s="236" customFormat="1" ht="14.4" hidden="1" outlineLevel="1" thickTop="1" thickBot="1" x14ac:dyDescent="0.3">
      <c r="A102" s="237"/>
      <c r="B102" s="224" t="s">
        <v>146</v>
      </c>
      <c r="C102" s="239"/>
      <c r="D102" s="433"/>
      <c r="E102" s="232"/>
      <c r="F102" s="233"/>
      <c r="G102" s="233"/>
      <c r="H102" s="233"/>
      <c r="I102" s="233"/>
      <c r="J102" s="233"/>
      <c r="K102" s="234"/>
      <c r="L102" s="434"/>
      <c r="M102" s="232"/>
      <c r="N102" s="233"/>
      <c r="O102" s="233"/>
      <c r="P102" s="233"/>
      <c r="Q102" s="233"/>
      <c r="R102" s="233"/>
      <c r="S102" s="234"/>
      <c r="T102" s="434"/>
      <c r="U102" s="232"/>
      <c r="V102" s="233"/>
      <c r="W102" s="233"/>
      <c r="X102" s="233"/>
      <c r="Y102" s="233"/>
      <c r="Z102" s="233"/>
      <c r="AA102" s="234"/>
      <c r="AB102" s="434"/>
      <c r="AC102" s="231"/>
      <c r="AD102" s="228"/>
      <c r="AE102" s="228"/>
      <c r="AF102" s="228"/>
      <c r="AG102" s="228"/>
      <c r="AH102" s="228">
        <v>-10000</v>
      </c>
      <c r="AI102" s="444"/>
      <c r="AJ102" s="451"/>
      <c r="AK102" s="430"/>
      <c r="AL102" s="228"/>
      <c r="AM102" s="228"/>
      <c r="AN102" s="228"/>
      <c r="AO102" s="228"/>
      <c r="AP102" s="228"/>
      <c r="AQ102" s="444"/>
      <c r="AR102" s="451"/>
      <c r="AS102" s="231"/>
      <c r="AT102" s="228"/>
      <c r="AU102" s="228"/>
      <c r="AV102" s="228"/>
      <c r="AW102" s="228"/>
      <c r="AX102" s="228"/>
      <c r="AY102" s="234"/>
      <c r="AZ102" s="235"/>
      <c r="BA102" s="235"/>
    </row>
    <row r="103" spans="1:53" s="236" customFormat="1" ht="14.4" hidden="1" outlineLevel="1" thickTop="1" thickBot="1" x14ac:dyDescent="0.3">
      <c r="A103" s="223"/>
      <c r="B103" s="224" t="s">
        <v>147</v>
      </c>
      <c r="C103" s="239"/>
      <c r="D103" s="433"/>
      <c r="E103" s="232"/>
      <c r="F103" s="233"/>
      <c r="G103" s="233"/>
      <c r="H103" s="233"/>
      <c r="I103" s="233"/>
      <c r="J103" s="233"/>
      <c r="K103" s="234"/>
      <c r="L103" s="434"/>
      <c r="M103" s="232"/>
      <c r="N103" s="233"/>
      <c r="O103" s="233"/>
      <c r="P103" s="233"/>
      <c r="Q103" s="233"/>
      <c r="R103" s="233"/>
      <c r="S103" s="234"/>
      <c r="T103" s="434"/>
      <c r="U103" s="232"/>
      <c r="V103" s="233"/>
      <c r="W103" s="233"/>
      <c r="X103" s="233"/>
      <c r="Y103" s="233"/>
      <c r="Z103" s="233"/>
      <c r="AA103" s="234"/>
      <c r="AB103" s="434"/>
      <c r="AC103" s="231"/>
      <c r="AD103" s="228"/>
      <c r="AE103" s="228"/>
      <c r="AF103" s="228"/>
      <c r="AG103" s="228"/>
      <c r="AH103" s="228">
        <v>-14000</v>
      </c>
      <c r="AI103" s="445"/>
      <c r="AJ103" s="451"/>
      <c r="AK103" s="430"/>
      <c r="AL103" s="228"/>
      <c r="AM103" s="228"/>
      <c r="AN103" s="228"/>
      <c r="AO103" s="228"/>
      <c r="AP103" s="228"/>
      <c r="AQ103" s="445"/>
      <c r="AR103" s="451"/>
      <c r="AS103" s="231"/>
      <c r="AT103" s="228"/>
      <c r="AU103" s="228"/>
      <c r="AV103" s="228"/>
      <c r="AW103" s="228"/>
      <c r="AX103" s="228"/>
      <c r="AY103" s="243"/>
      <c r="AZ103" s="235"/>
      <c r="BA103" s="235"/>
    </row>
    <row r="104" spans="1:53" s="236" customFormat="1" ht="14.4" hidden="1" outlineLevel="1" thickTop="1" thickBot="1" x14ac:dyDescent="0.3">
      <c r="A104" s="223"/>
      <c r="B104" s="224" t="s">
        <v>148</v>
      </c>
      <c r="C104" s="239"/>
      <c r="D104" s="433"/>
      <c r="E104" s="232"/>
      <c r="F104" s="233"/>
      <c r="G104" s="233"/>
      <c r="H104" s="233"/>
      <c r="I104" s="233"/>
      <c r="J104" s="233"/>
      <c r="K104" s="234"/>
      <c r="L104" s="434"/>
      <c r="M104" s="232"/>
      <c r="N104" s="233"/>
      <c r="O104" s="233"/>
      <c r="P104" s="233"/>
      <c r="Q104" s="233"/>
      <c r="R104" s="233"/>
      <c r="S104" s="234"/>
      <c r="T104" s="434"/>
      <c r="U104" s="232"/>
      <c r="V104" s="233"/>
      <c r="W104" s="233"/>
      <c r="X104" s="233"/>
      <c r="Y104" s="233"/>
      <c r="Z104" s="233"/>
      <c r="AA104" s="234"/>
      <c r="AB104" s="434"/>
      <c r="AC104" s="231"/>
      <c r="AD104" s="228"/>
      <c r="AE104" s="228"/>
      <c r="AF104" s="228"/>
      <c r="AG104" s="228"/>
      <c r="AH104" s="228">
        <v>-80000</v>
      </c>
      <c r="AI104" s="445"/>
      <c r="AJ104" s="451"/>
      <c r="AK104" s="430"/>
      <c r="AL104" s="228"/>
      <c r="AM104" s="228"/>
      <c r="AN104" s="228"/>
      <c r="AO104" s="228"/>
      <c r="AP104" s="228"/>
      <c r="AQ104" s="445"/>
      <c r="AR104" s="451"/>
      <c r="AS104" s="231"/>
      <c r="AT104" s="228"/>
      <c r="AU104" s="228"/>
      <c r="AV104" s="228"/>
      <c r="AW104" s="228"/>
      <c r="AX104" s="228"/>
      <c r="AY104" s="243"/>
      <c r="AZ104" s="235"/>
      <c r="BA104" s="235"/>
    </row>
    <row r="105" spans="1:53" s="236" customFormat="1" ht="14.4" hidden="1" outlineLevel="1" thickTop="1" thickBot="1" x14ac:dyDescent="0.3">
      <c r="A105" s="237"/>
      <c r="B105" s="224" t="s">
        <v>149</v>
      </c>
      <c r="C105" s="239"/>
      <c r="D105" s="433"/>
      <c r="E105" s="232"/>
      <c r="F105" s="233"/>
      <c r="G105" s="233"/>
      <c r="H105" s="233"/>
      <c r="I105" s="233"/>
      <c r="J105" s="233"/>
      <c r="K105" s="234"/>
      <c r="L105" s="434"/>
      <c r="M105" s="232"/>
      <c r="N105" s="233"/>
      <c r="O105" s="233"/>
      <c r="P105" s="233"/>
      <c r="Q105" s="233"/>
      <c r="R105" s="233"/>
      <c r="S105" s="234"/>
      <c r="T105" s="434"/>
      <c r="U105" s="232"/>
      <c r="V105" s="233"/>
      <c r="W105" s="233"/>
      <c r="X105" s="233"/>
      <c r="Y105" s="233"/>
      <c r="Z105" s="233"/>
      <c r="AA105" s="234"/>
      <c r="AB105" s="434"/>
      <c r="AC105" s="231"/>
      <c r="AD105" s="228"/>
      <c r="AE105" s="228"/>
      <c r="AF105" s="228"/>
      <c r="AG105" s="228"/>
      <c r="AH105" s="228">
        <v>-50571</v>
      </c>
      <c r="AI105" s="444"/>
      <c r="AJ105" s="451"/>
      <c r="AK105" s="430"/>
      <c r="AL105" s="228"/>
      <c r="AM105" s="228"/>
      <c r="AN105" s="228"/>
      <c r="AO105" s="228"/>
      <c r="AP105" s="228"/>
      <c r="AQ105" s="444"/>
      <c r="AR105" s="451"/>
      <c r="AS105" s="231"/>
      <c r="AT105" s="228"/>
      <c r="AU105" s="228"/>
      <c r="AV105" s="228"/>
      <c r="AW105" s="228"/>
      <c r="AX105" s="228"/>
      <c r="AY105" s="234"/>
      <c r="AZ105" s="235"/>
      <c r="BA105" s="235"/>
    </row>
    <row r="106" spans="1:53" s="236" customFormat="1" ht="14.4" hidden="1" outlineLevel="1" thickTop="1" thickBot="1" x14ac:dyDescent="0.3">
      <c r="A106" s="244" t="s">
        <v>150</v>
      </c>
      <c r="B106" s="245"/>
      <c r="C106" s="246"/>
      <c r="D106" s="433"/>
      <c r="E106" s="232"/>
      <c r="F106" s="233"/>
      <c r="G106" s="233"/>
      <c r="H106" s="233"/>
      <c r="I106" s="233"/>
      <c r="J106" s="233"/>
      <c r="K106" s="234"/>
      <c r="L106" s="434"/>
      <c r="M106" s="232"/>
      <c r="N106" s="233"/>
      <c r="O106" s="233"/>
      <c r="P106" s="233"/>
      <c r="Q106" s="233"/>
      <c r="R106" s="233"/>
      <c r="S106" s="234"/>
      <c r="T106" s="434"/>
      <c r="U106" s="232"/>
      <c r="V106" s="233"/>
      <c r="W106" s="233"/>
      <c r="X106" s="233"/>
      <c r="Y106" s="233"/>
      <c r="Z106" s="233"/>
      <c r="AA106" s="234"/>
      <c r="AB106" s="434"/>
      <c r="AC106" s="247"/>
      <c r="AD106" s="248"/>
      <c r="AE106" s="248"/>
      <c r="AF106" s="248"/>
      <c r="AG106" s="248"/>
      <c r="AH106" s="248">
        <v>644450</v>
      </c>
      <c r="AI106" s="446">
        <v>8.4141330340536729E-4</v>
      </c>
      <c r="AJ106" s="451"/>
      <c r="AK106" s="431"/>
      <c r="AL106" s="248"/>
      <c r="AM106" s="248"/>
      <c r="AN106" s="248"/>
      <c r="AO106" s="248"/>
      <c r="AP106" s="248" t="e">
        <f>AP94+SUM(AP98:AP105)</f>
        <v>#REF!</v>
      </c>
      <c r="AQ106" s="446" t="e">
        <f>AP106/#REF!</f>
        <v>#REF!</v>
      </c>
      <c r="AR106" s="451"/>
      <c r="AS106" s="247"/>
      <c r="AT106" s="248"/>
      <c r="AU106" s="248"/>
      <c r="AV106" s="248"/>
      <c r="AW106" s="248"/>
      <c r="AX106" s="248" t="e">
        <f>AX94+SUM(AX98:AX105)</f>
        <v>#REF!</v>
      </c>
      <c r="AY106" s="349" t="e">
        <f>AV106/#REF!</f>
        <v>#REF!</v>
      </c>
      <c r="AZ106" s="235"/>
      <c r="BA106" s="235"/>
    </row>
    <row r="107" spans="1:53" ht="10.5" customHeight="1" collapsed="1" thickTop="1" thickBot="1" x14ac:dyDescent="0.3">
      <c r="A107" s="157"/>
      <c r="B107" s="158"/>
      <c r="C107" s="159"/>
      <c r="D107" s="166"/>
      <c r="E107" s="160"/>
      <c r="F107" s="161"/>
      <c r="G107" s="161"/>
      <c r="H107" s="162"/>
      <c r="I107" s="162"/>
      <c r="J107" s="161"/>
      <c r="K107" s="163"/>
      <c r="L107" s="166"/>
      <c r="M107" s="160"/>
      <c r="N107" s="161"/>
      <c r="O107" s="161"/>
      <c r="P107" s="162"/>
      <c r="Q107" s="162"/>
      <c r="R107" s="161"/>
      <c r="S107" s="163"/>
      <c r="T107" s="166"/>
      <c r="U107" s="160"/>
      <c r="V107" s="161"/>
      <c r="W107" s="161"/>
      <c r="X107" s="162"/>
      <c r="Y107" s="162"/>
      <c r="Z107" s="162"/>
      <c r="AA107" s="164"/>
      <c r="AB107" s="166"/>
      <c r="AC107" s="160"/>
      <c r="AD107" s="161"/>
      <c r="AE107" s="161"/>
      <c r="AF107" s="161"/>
      <c r="AG107" s="161"/>
      <c r="AH107" s="161"/>
      <c r="AI107" s="161"/>
      <c r="AJ107" s="448"/>
      <c r="AK107" s="161"/>
      <c r="AL107" s="161"/>
      <c r="AM107" s="161"/>
      <c r="AN107" s="161"/>
      <c r="AO107" s="161"/>
      <c r="AP107" s="161"/>
      <c r="AQ107" s="161"/>
      <c r="AR107" s="448"/>
      <c r="AS107" s="160"/>
      <c r="AT107" s="162"/>
      <c r="AU107" s="161"/>
      <c r="AV107" s="161"/>
      <c r="AW107" s="161"/>
      <c r="AX107" s="161"/>
      <c r="AY107" s="163"/>
    </row>
    <row r="108" spans="1:53" ht="10.5" customHeight="1" x14ac:dyDescent="0.25">
      <c r="A108" s="99"/>
      <c r="B108" s="99"/>
      <c r="C108" s="165"/>
      <c r="D108" s="97"/>
      <c r="E108" s="166"/>
      <c r="F108" s="166"/>
      <c r="G108" s="166"/>
      <c r="H108" s="166"/>
      <c r="I108" s="166"/>
      <c r="J108" s="166"/>
      <c r="K108" s="166"/>
      <c r="L108" s="97"/>
      <c r="M108" s="166"/>
      <c r="N108" s="166"/>
      <c r="O108" s="166"/>
      <c r="P108" s="166"/>
      <c r="Q108" s="166"/>
      <c r="R108" s="166"/>
      <c r="S108" s="166"/>
      <c r="T108" s="97"/>
      <c r="U108" s="166"/>
      <c r="V108" s="166"/>
      <c r="W108" s="166"/>
      <c r="X108" s="166"/>
      <c r="Y108" s="166"/>
      <c r="Z108" s="166"/>
      <c r="AA108" s="166"/>
      <c r="AB108" s="97"/>
      <c r="AC108" s="166"/>
      <c r="AD108" s="166"/>
      <c r="AE108" s="166"/>
      <c r="AF108" s="166"/>
      <c r="AG108" s="166"/>
      <c r="AH108" s="166"/>
      <c r="AI108" s="166"/>
      <c r="AJ108" s="97"/>
      <c r="AK108" s="166"/>
      <c r="AL108" s="166"/>
      <c r="AM108" s="166"/>
      <c r="AN108" s="166"/>
      <c r="AO108" s="166"/>
      <c r="AP108" s="166"/>
      <c r="AQ108" s="166"/>
      <c r="AR108" s="97"/>
      <c r="AS108" s="166"/>
      <c r="AT108" s="166"/>
      <c r="AU108" s="166"/>
      <c r="AV108" s="166"/>
      <c r="AW108" s="166"/>
      <c r="AX108" s="166"/>
      <c r="AY108" s="166"/>
    </row>
    <row r="109" spans="1:53" x14ac:dyDescent="0.25">
      <c r="A109" s="99"/>
      <c r="B109" s="533" t="s">
        <v>266</v>
      </c>
      <c r="C109" s="533"/>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33"/>
      <c r="AE109" s="533"/>
      <c r="AF109" s="533"/>
      <c r="AG109" s="533"/>
      <c r="AH109" s="533"/>
      <c r="AI109" s="533"/>
      <c r="AJ109" s="533"/>
      <c r="AK109" s="533"/>
      <c r="AL109" s="533"/>
      <c r="AM109" s="533"/>
      <c r="AN109" s="533"/>
      <c r="AO109" s="533"/>
      <c r="AP109" s="533"/>
      <c r="AQ109" s="533"/>
      <c r="AR109" s="533"/>
      <c r="AS109" s="533"/>
      <c r="AT109" s="533"/>
      <c r="AU109" s="533"/>
      <c r="AV109" s="533"/>
      <c r="AW109" s="533"/>
      <c r="AX109" s="533"/>
      <c r="AY109" s="533"/>
    </row>
    <row r="110" spans="1:53" ht="27.75" customHeight="1" x14ac:dyDescent="0.25">
      <c r="A110" s="99"/>
      <c r="B110" s="557" t="s">
        <v>424</v>
      </c>
      <c r="C110" s="557"/>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557"/>
      <c r="AY110" s="557"/>
    </row>
    <row r="111" spans="1:53" x14ac:dyDescent="0.25">
      <c r="A111" s="99"/>
      <c r="B111" s="557" t="s">
        <v>272</v>
      </c>
      <c r="C111" s="557"/>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557"/>
      <c r="AK111" s="557"/>
      <c r="AL111" s="557"/>
      <c r="AM111" s="557"/>
      <c r="AN111" s="557"/>
      <c r="AO111" s="557"/>
      <c r="AP111" s="557"/>
      <c r="AQ111" s="557"/>
      <c r="AR111" s="557"/>
      <c r="AS111" s="557"/>
      <c r="AT111" s="557"/>
      <c r="AU111" s="557"/>
      <c r="AV111" s="557"/>
      <c r="AW111" s="557"/>
      <c r="AX111" s="557"/>
      <c r="AY111" s="557"/>
    </row>
    <row r="112" spans="1:53" x14ac:dyDescent="0.25">
      <c r="A112" s="99"/>
      <c r="B112" s="557" t="s">
        <v>275</v>
      </c>
      <c r="C112" s="557"/>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557"/>
      <c r="AK112" s="557"/>
      <c r="AL112" s="557"/>
      <c r="AM112" s="557"/>
      <c r="AN112" s="557"/>
      <c r="AO112" s="557"/>
      <c r="AP112" s="557"/>
      <c r="AQ112" s="557"/>
      <c r="AR112" s="557"/>
      <c r="AS112" s="557"/>
      <c r="AT112" s="557"/>
      <c r="AU112" s="557"/>
      <c r="AV112" s="557"/>
      <c r="AW112" s="557"/>
      <c r="AX112" s="557"/>
      <c r="AY112" s="557"/>
    </row>
    <row r="113" spans="1:51" ht="17.25" customHeight="1" x14ac:dyDescent="0.25">
      <c r="A113" s="99"/>
      <c r="B113" s="557" t="s">
        <v>270</v>
      </c>
      <c r="C113" s="557"/>
      <c r="D113" s="557"/>
      <c r="E113" s="557"/>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557"/>
      <c r="AB113" s="557"/>
      <c r="AC113" s="557">
        <f>+AC76-AC109</f>
        <v>789595935</v>
      </c>
      <c r="AD113" s="557"/>
      <c r="AE113" s="557"/>
      <c r="AF113" s="557"/>
      <c r="AG113" s="557"/>
      <c r="AH113" s="557"/>
      <c r="AI113" s="557"/>
      <c r="AJ113" s="557"/>
      <c r="AK113" s="557"/>
      <c r="AL113" s="557"/>
      <c r="AM113" s="557"/>
      <c r="AN113" s="557"/>
      <c r="AO113" s="557"/>
      <c r="AP113" s="557"/>
      <c r="AQ113" s="557"/>
      <c r="AR113" s="557"/>
      <c r="AS113" s="557"/>
      <c r="AT113" s="557">
        <v>0</v>
      </c>
      <c r="AU113" s="557"/>
      <c r="AV113" s="557"/>
      <c r="AW113" s="557"/>
      <c r="AX113" s="557"/>
      <c r="AY113" s="557"/>
    </row>
    <row r="114" spans="1:51" x14ac:dyDescent="0.25">
      <c r="B114" s="212"/>
    </row>
    <row r="115" spans="1:51" x14ac:dyDescent="0.25">
      <c r="B115" s="212"/>
    </row>
    <row r="118" spans="1:51" ht="14.25" hidden="1" customHeight="1" outlineLevel="1" x14ac:dyDescent="0.25">
      <c r="A118" s="99"/>
      <c r="B118" s="99" t="s">
        <v>151</v>
      </c>
      <c r="C118" s="165"/>
      <c r="D118" s="97"/>
      <c r="E118" s="166"/>
      <c r="F118" s="166"/>
      <c r="G118" s="166"/>
      <c r="H118" s="166"/>
      <c r="I118" s="166"/>
      <c r="J118" s="166"/>
      <c r="K118" s="166"/>
      <c r="L118" s="97"/>
      <c r="M118" s="166"/>
      <c r="N118" s="166"/>
      <c r="O118" s="166"/>
      <c r="P118" s="166"/>
      <c r="Q118" s="166"/>
      <c r="R118" s="166"/>
      <c r="S118" s="166"/>
      <c r="T118" s="97"/>
      <c r="U118" s="166"/>
      <c r="V118" s="166"/>
      <c r="W118" s="166"/>
      <c r="X118" s="166"/>
      <c r="Y118" s="166"/>
      <c r="Z118" s="166"/>
      <c r="AA118" s="166"/>
      <c r="AB118" s="97"/>
      <c r="AC118" s="166"/>
      <c r="AD118" s="166"/>
      <c r="AE118" s="166"/>
      <c r="AF118" s="166"/>
      <c r="AG118" s="166"/>
      <c r="AH118" s="166"/>
      <c r="AI118" s="166"/>
      <c r="AJ118" s="97"/>
      <c r="AK118" s="166"/>
      <c r="AL118" s="166"/>
      <c r="AM118" s="166"/>
      <c r="AN118" s="166"/>
      <c r="AO118" s="166"/>
      <c r="AP118" s="166"/>
      <c r="AQ118" s="166"/>
      <c r="AR118" s="97"/>
      <c r="AS118" s="166"/>
      <c r="AT118" s="166"/>
      <c r="AU118" s="166"/>
      <c r="AV118" s="166"/>
      <c r="AW118" s="166"/>
      <c r="AX118" s="166"/>
      <c r="AY118" s="166"/>
    </row>
    <row r="119" spans="1:51" hidden="1" outlineLevel="1" x14ac:dyDescent="0.25">
      <c r="B119" s="95" t="s">
        <v>152</v>
      </c>
      <c r="AF119" s="114"/>
    </row>
    <row r="120" spans="1:51" ht="24.75" hidden="1" customHeight="1" outlineLevel="1" x14ac:dyDescent="0.25">
      <c r="B120" s="547" t="s">
        <v>153</v>
      </c>
      <c r="C120" s="547"/>
      <c r="D120" s="547"/>
      <c r="E120" s="547"/>
      <c r="F120" s="547"/>
      <c r="G120" s="547"/>
      <c r="H120" s="547"/>
      <c r="I120" s="547"/>
      <c r="J120" s="547"/>
      <c r="K120" s="547"/>
      <c r="L120" s="547"/>
      <c r="M120" s="547"/>
      <c r="N120" s="547"/>
      <c r="O120" s="547"/>
      <c r="P120" s="547"/>
      <c r="Q120" s="547"/>
      <c r="R120" s="547"/>
      <c r="S120" s="547"/>
      <c r="T120" s="547"/>
      <c r="U120" s="547"/>
      <c r="V120" s="547"/>
      <c r="W120" s="547"/>
      <c r="X120" s="547"/>
      <c r="Y120" s="547"/>
      <c r="Z120" s="547"/>
      <c r="AA120" s="547"/>
      <c r="AB120" s="547"/>
      <c r="AC120" s="547"/>
      <c r="AD120" s="547"/>
      <c r="AE120" s="547"/>
      <c r="AF120" s="547"/>
      <c r="AG120" s="547"/>
      <c r="AH120" s="547"/>
      <c r="AI120" s="547"/>
      <c r="AJ120" s="547"/>
      <c r="AK120" s="547"/>
      <c r="AL120" s="547"/>
      <c r="AM120" s="547"/>
      <c r="AN120" s="547"/>
      <c r="AO120" s="547"/>
      <c r="AP120" s="547"/>
      <c r="AQ120" s="547"/>
      <c r="AR120" s="209"/>
      <c r="AS120" s="209"/>
      <c r="AT120" s="209"/>
      <c r="AU120" s="209"/>
      <c r="AV120" s="209"/>
      <c r="AW120" s="209"/>
      <c r="AX120" s="209"/>
      <c r="AY120" s="209"/>
    </row>
    <row r="121" spans="1:51" ht="39.6" hidden="1" outlineLevel="1" x14ac:dyDescent="0.25">
      <c r="B121" s="167" t="s">
        <v>154</v>
      </c>
      <c r="AP121" s="168"/>
      <c r="AQ121" s="169"/>
      <c r="AR121" s="165"/>
      <c r="AS121" s="166"/>
      <c r="AT121" s="99"/>
      <c r="AX121" s="168"/>
      <c r="AY121" s="169"/>
    </row>
    <row r="122" spans="1:51" hidden="1" outlineLevel="1" x14ac:dyDescent="0.25">
      <c r="AF122" s="114"/>
      <c r="AG122" s="114"/>
      <c r="AH122" s="114"/>
      <c r="AK122" s="114"/>
      <c r="AP122" s="114"/>
      <c r="AQ122" s="207"/>
      <c r="AR122" s="165"/>
      <c r="AS122" s="168"/>
      <c r="AT122" s="168"/>
      <c r="AX122" s="114"/>
      <c r="AY122" s="207"/>
    </row>
    <row r="123" spans="1:51" hidden="1" outlineLevel="1" x14ac:dyDescent="0.25">
      <c r="AQ123" s="211"/>
      <c r="AR123" s="165"/>
      <c r="AS123" s="99"/>
      <c r="AT123" s="99"/>
      <c r="AY123" s="169"/>
    </row>
    <row r="124" spans="1:51" collapsed="1" x14ac:dyDescent="0.25"/>
  </sheetData>
  <mergeCells count="57">
    <mergeCell ref="B110:AY110"/>
    <mergeCell ref="B113:AY113"/>
    <mergeCell ref="B111:AY111"/>
    <mergeCell ref="B112:AY112"/>
    <mergeCell ref="AC3:AI3"/>
    <mergeCell ref="O4:O6"/>
    <mergeCell ref="P4:P6"/>
    <mergeCell ref="H4:H6"/>
    <mergeCell ref="I4:I6"/>
    <mergeCell ref="J4:J6"/>
    <mergeCell ref="K4:K6"/>
    <mergeCell ref="M4:M6"/>
    <mergeCell ref="AF4:AF6"/>
    <mergeCell ref="S4:S6"/>
    <mergeCell ref="U4:U6"/>
    <mergeCell ref="V4:V6"/>
    <mergeCell ref="B120:AQ120"/>
    <mergeCell ref="AG4:AG6"/>
    <mergeCell ref="AH4:AH6"/>
    <mergeCell ref="AI4:AI6"/>
    <mergeCell ref="AK4:AK6"/>
    <mergeCell ref="AL4:AL6"/>
    <mergeCell ref="AM4:AM6"/>
    <mergeCell ref="Z4:Z6"/>
    <mergeCell ref="AA4:AA6"/>
    <mergeCell ref="AC4:AC6"/>
    <mergeCell ref="AD4:AD6"/>
    <mergeCell ref="AE4:AE6"/>
    <mergeCell ref="E4:E6"/>
    <mergeCell ref="F4:F6"/>
    <mergeCell ref="G4:G6"/>
    <mergeCell ref="R4:R6"/>
    <mergeCell ref="B109:AY109"/>
    <mergeCell ref="AS3:AY3"/>
    <mergeCell ref="AS4:AS6"/>
    <mergeCell ref="AT4:AT6"/>
    <mergeCell ref="AU4:AU6"/>
    <mergeCell ref="AV4:AV6"/>
    <mergeCell ref="AW4:AW6"/>
    <mergeCell ref="AX4:AX6"/>
    <mergeCell ref="AY4:AY6"/>
    <mergeCell ref="AN4:AN6"/>
    <mergeCell ref="AO4:AO6"/>
    <mergeCell ref="AP4:AP6"/>
    <mergeCell ref="Y4:Y6"/>
    <mergeCell ref="U3:AA3"/>
    <mergeCell ref="AK3:AQ3"/>
    <mergeCell ref="AQ4:AQ6"/>
    <mergeCell ref="X4:X6"/>
    <mergeCell ref="E3:K3"/>
    <mergeCell ref="M3:S3"/>
    <mergeCell ref="N4:N6"/>
    <mergeCell ref="A94:C94"/>
    <mergeCell ref="W4:W6"/>
    <mergeCell ref="A3:B6"/>
    <mergeCell ref="C3:C6"/>
    <mergeCell ref="Q4:Q6"/>
  </mergeCells>
  <conditionalFormatting sqref="B36">
    <cfRule type="expression" dxfId="13" priority="15" stopIfTrue="1">
      <formula>OR(#REF!-#REF!&gt;1,#REF!-#REF!&lt;-1)</formula>
    </cfRule>
  </conditionalFormatting>
  <conditionalFormatting sqref="B30:B34">
    <cfRule type="expression" dxfId="12" priority="14" stopIfTrue="1">
      <formula>OR(#REF!-#REF!&gt;1,#REF!-#REF!&lt;-1)</formula>
    </cfRule>
  </conditionalFormatting>
  <conditionalFormatting sqref="B47:B48">
    <cfRule type="expression" dxfId="11" priority="13" stopIfTrue="1">
      <formula>OR(#REF!-#REF!&gt;1,#REF!-#REF!&lt;-1)</formula>
    </cfRule>
  </conditionalFormatting>
  <conditionalFormatting sqref="B83 B85 B46:B50 B41:B42 B37 B30:B35 B8:B9 B13:B16 B20:B24 B54:B59 B65:B73 B79:B81">
    <cfRule type="expression" dxfId="10" priority="12" stopIfTrue="1">
      <formula>OR(#REF!-#REF!&gt;1,#REF!-#REF!&lt;-1)</formula>
    </cfRule>
  </conditionalFormatting>
  <conditionalFormatting sqref="B25">
    <cfRule type="expression" dxfId="9" priority="11" stopIfTrue="1">
      <formula>OR(#REF!-#REF!&gt;1,#REF!-#REF!&lt;-1)</formula>
    </cfRule>
  </conditionalFormatting>
  <conditionalFormatting sqref="B25">
    <cfRule type="expression" dxfId="8" priority="10" stopIfTrue="1">
      <formula>OR(#REF!-#REF!&gt;1,#REF!-#REF!&lt;-1)</formula>
    </cfRule>
  </conditionalFormatting>
  <conditionalFormatting sqref="B103:B104 B86 B65 B54:B55 B46:B49 B30:B34 B26 B36:B37 B14:B16 B21:B24">
    <cfRule type="expression" dxfId="7" priority="9" stopIfTrue="1">
      <formula>OR(#REF!-#REF!&gt;1,#REF!-#REF!&lt;-1)</formula>
    </cfRule>
  </conditionalFormatting>
  <printOptions horizontalCentered="1"/>
  <pageMargins left="3.9370078740157501E-2" right="3.9370078740157501E-2" top="0.70866141732283505" bottom="0.23622047244094499" header="0.35433070866141703" footer="0.118110236220472"/>
  <pageSetup scale="72" firstPageNumber="0" fitToHeight="0" orientation="portrait" r:id="rId1"/>
  <headerFooter alignWithMargins="0">
    <oddHeader xml:space="preserve">&amp;C&amp;"Times New Roman,Regular"Components of the 2014 Q3 Operating Budget Variance Report&amp;R&amp;"Times New Roman,Regular"APPENDIX A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135"/>
  <sheetViews>
    <sheetView zoomScaleNormal="100" workbookViewId="0">
      <selection activeCell="C67" sqref="C67"/>
    </sheetView>
  </sheetViews>
  <sheetFormatPr defaultColWidth="9.109375" defaultRowHeight="13.2" x14ac:dyDescent="0.25"/>
  <cols>
    <col min="1" max="1" width="0.88671875" style="83" customWidth="1"/>
    <col min="2" max="2" width="2.6640625" style="83" customWidth="1"/>
    <col min="3" max="3" width="20" style="83" customWidth="1"/>
    <col min="4" max="4" width="1.44140625" style="83" customWidth="1"/>
    <col min="5" max="5" width="12" style="83" customWidth="1"/>
    <col min="6" max="6" width="11.6640625" style="83" customWidth="1"/>
    <col min="7" max="7" width="12.109375" style="83" customWidth="1"/>
    <col min="8" max="8" width="2.33203125" style="83" customWidth="1"/>
    <col min="9" max="9" width="17" style="83" customWidth="1"/>
    <col min="10" max="11" width="12.109375" style="83" customWidth="1"/>
    <col min="12" max="12" width="13.886718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159</v>
      </c>
      <c r="B1" s="2"/>
      <c r="C1" s="2"/>
      <c r="D1" s="2"/>
      <c r="E1" s="2"/>
      <c r="F1" s="2"/>
      <c r="G1" s="2"/>
      <c r="H1" s="2"/>
      <c r="I1" s="2"/>
      <c r="J1" s="2"/>
      <c r="K1" s="2"/>
      <c r="L1" s="2"/>
      <c r="M1" s="2"/>
      <c r="O1" s="4"/>
      <c r="P1" s="4"/>
      <c r="Q1" s="4"/>
      <c r="R1" s="4"/>
      <c r="S1" s="5"/>
      <c r="T1" s="83" t="s">
        <v>228</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c r="T3" s="83" t="s">
        <v>229</v>
      </c>
    </row>
    <row r="4" spans="1:20" x14ac:dyDescent="0.25">
      <c r="B4" s="82"/>
      <c r="C4" s="38"/>
      <c r="D4" s="13"/>
      <c r="E4" s="14" t="s">
        <v>35</v>
      </c>
      <c r="F4" s="14" t="s">
        <v>35</v>
      </c>
      <c r="G4" s="14" t="s">
        <v>35</v>
      </c>
      <c r="I4" s="85"/>
      <c r="J4" s="14" t="s">
        <v>41</v>
      </c>
      <c r="K4" s="14" t="s">
        <v>41</v>
      </c>
      <c r="L4" s="14" t="s">
        <v>41</v>
      </c>
      <c r="O4" s="7" t="s">
        <v>3</v>
      </c>
      <c r="P4" s="3"/>
      <c r="Q4" s="3"/>
      <c r="R4" s="3"/>
      <c r="S4" s="10">
        <f t="shared" si="0"/>
        <v>100000</v>
      </c>
      <c r="T4" s="83" t="s">
        <v>230</v>
      </c>
    </row>
    <row r="5" spans="1:20" x14ac:dyDescent="0.25">
      <c r="B5" s="16" t="s">
        <v>36</v>
      </c>
      <c r="C5" s="17"/>
      <c r="D5" s="12"/>
      <c r="E5" s="18">
        <v>184614476</v>
      </c>
      <c r="F5" s="18">
        <v>156801892</v>
      </c>
      <c r="G5" s="18">
        <v>167664777</v>
      </c>
      <c r="I5" s="86" t="s">
        <v>38</v>
      </c>
      <c r="J5" s="73"/>
      <c r="K5" s="73"/>
      <c r="L5" s="73">
        <v>-495000</v>
      </c>
      <c r="O5" s="15" t="s">
        <v>4</v>
      </c>
      <c r="S5" s="10">
        <f t="shared" si="0"/>
        <v>0</v>
      </c>
    </row>
    <row r="6" spans="1:20" x14ac:dyDescent="0.25">
      <c r="B6" s="16" t="s">
        <v>7</v>
      </c>
      <c r="C6" s="17"/>
      <c r="D6" s="12"/>
      <c r="E6" s="18">
        <v>-278523323</v>
      </c>
      <c r="F6" s="18">
        <v>-279305665</v>
      </c>
      <c r="G6" s="18">
        <f>167664777-447952974</f>
        <v>-280288197</v>
      </c>
      <c r="I6" s="87" t="s">
        <v>39</v>
      </c>
      <c r="J6" s="18">
        <v>1342000</v>
      </c>
      <c r="K6" s="18">
        <v>1288000</v>
      </c>
      <c r="L6" s="18">
        <v>-695000</v>
      </c>
      <c r="O6" s="15" t="s">
        <v>6</v>
      </c>
      <c r="S6" s="10">
        <f t="shared" si="0"/>
        <v>0</v>
      </c>
    </row>
    <row r="7" spans="1:20" x14ac:dyDescent="0.25">
      <c r="B7" s="21" t="s">
        <v>9</v>
      </c>
      <c r="C7" s="22"/>
      <c r="D7" s="23"/>
      <c r="E7" s="24">
        <v>-276026209</v>
      </c>
      <c r="F7" s="24">
        <v>-280930836</v>
      </c>
      <c r="G7" s="24">
        <f>G6-L6</f>
        <v>-279593197</v>
      </c>
      <c r="I7" s="87" t="s">
        <v>40</v>
      </c>
      <c r="J7" s="18">
        <v>1101000</v>
      </c>
      <c r="K7" s="18">
        <v>1653000</v>
      </c>
      <c r="L7" s="18">
        <f>+L117</f>
        <v>-875000</v>
      </c>
      <c r="O7" s="15" t="s">
        <v>8</v>
      </c>
      <c r="P7" s="20"/>
      <c r="S7" s="10">
        <f t="shared" si="0"/>
        <v>0</v>
      </c>
    </row>
    <row r="8" spans="1:20" x14ac:dyDescent="0.25">
      <c r="B8" s="26" t="s">
        <v>11</v>
      </c>
      <c r="C8" s="27"/>
      <c r="D8" s="28"/>
      <c r="E8" s="29">
        <v>-2497114</v>
      </c>
      <c r="F8" s="29">
        <v>1625171</v>
      </c>
      <c r="G8" s="29">
        <f>G6-G7</f>
        <v>-695000</v>
      </c>
      <c r="I8" s="88" t="s">
        <v>43</v>
      </c>
      <c r="J8" s="74">
        <f>E8</f>
        <v>-2497114</v>
      </c>
      <c r="K8" s="74">
        <f>F8</f>
        <v>1625171</v>
      </c>
      <c r="L8" s="74"/>
      <c r="O8" s="15" t="s">
        <v>10</v>
      </c>
      <c r="P8" s="25"/>
      <c r="S8" s="10">
        <f t="shared" si="0"/>
        <v>-350000</v>
      </c>
    </row>
    <row r="9" spans="1:20" x14ac:dyDescent="0.25">
      <c r="B9" s="32" t="s">
        <v>37</v>
      </c>
      <c r="C9" s="33"/>
      <c r="D9" s="23"/>
      <c r="E9" s="34">
        <f>IF(ISERROR(IF(E8=0,"",(E8/$E$5))),"",(IF(E8=0,"",(E8/$E$5))))</f>
        <v>-1.3526100737625796E-2</v>
      </c>
      <c r="F9" s="34">
        <f>IF(ISERROR(IF(F8=0,"",(F8/$F$5))),"",(IF(F8=0,"",(F8/$F$5))))</f>
        <v>1.0364485908116465E-2</v>
      </c>
      <c r="G9" s="34">
        <f>IF(ISERROR(IF(G8=0,"",(G8/$G$5))),"",(IF(G8=0,"",(G8/$G$5))))</f>
        <v>-4.1451759423507296E-3</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69000</v>
      </c>
    </row>
    <row r="15" spans="1:20" x14ac:dyDescent="0.25">
      <c r="O15" s="15" t="s">
        <v>18</v>
      </c>
      <c r="P15" s="36"/>
      <c r="Q15" s="36"/>
      <c r="S15" s="10">
        <f t="shared" si="0"/>
        <v>0</v>
      </c>
    </row>
    <row r="16" spans="1:20" x14ac:dyDescent="0.25">
      <c r="O16" s="15" t="s">
        <v>19</v>
      </c>
      <c r="P16" s="36"/>
      <c r="Q16" s="36"/>
      <c r="S16" s="10">
        <f t="shared" si="0"/>
        <v>535000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6.75" customHeight="1" x14ac:dyDescent="0.25">
      <c r="O21" s="15" t="s">
        <v>24</v>
      </c>
      <c r="S21" s="10">
        <f t="shared" si="0"/>
        <v>-1229000</v>
      </c>
    </row>
    <row r="22" spans="1:19" s="41" customFormat="1" ht="13.8" x14ac:dyDescent="0.25">
      <c r="A22" s="39"/>
      <c r="B22" s="6" t="s">
        <v>25</v>
      </c>
      <c r="C22" s="6"/>
      <c r="D22" s="6"/>
      <c r="E22" s="6"/>
      <c r="F22" s="6"/>
      <c r="G22" s="6"/>
      <c r="H22" s="40"/>
      <c r="I22" s="40"/>
      <c r="K22" s="42"/>
      <c r="O22" s="15" t="s">
        <v>44</v>
      </c>
      <c r="P22" s="12"/>
      <c r="Q22" s="12"/>
      <c r="R22" s="12"/>
      <c r="S22" s="37">
        <f>SUM(S3:S21)</f>
        <v>-875000</v>
      </c>
    </row>
    <row r="23" spans="1:19" s="41" customFormat="1" ht="15" customHeight="1" x14ac:dyDescent="0.25">
      <c r="A23" s="39"/>
      <c r="B23" s="571" t="s">
        <v>422</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3.8" x14ac:dyDescent="0.25">
      <c r="A28" s="39"/>
      <c r="B28" s="571"/>
      <c r="C28" s="571"/>
      <c r="D28" s="571"/>
      <c r="E28" s="571"/>
      <c r="F28" s="571"/>
      <c r="G28" s="571"/>
      <c r="H28" s="571"/>
      <c r="I28" s="571"/>
      <c r="J28" s="571"/>
      <c r="K28" s="571"/>
      <c r="L28" s="571"/>
      <c r="O28" s="15"/>
      <c r="P28" s="12"/>
      <c r="Q28" s="12"/>
      <c r="R28" s="12"/>
      <c r="S28" s="10"/>
    </row>
    <row r="29" spans="1:19" s="41" customFormat="1" ht="13.8" x14ac:dyDescent="0.25">
      <c r="A29" s="39"/>
      <c r="B29" s="571"/>
      <c r="C29" s="571"/>
      <c r="D29" s="571"/>
      <c r="E29" s="571"/>
      <c r="F29" s="571"/>
      <c r="G29" s="571"/>
      <c r="H29" s="571"/>
      <c r="I29" s="571"/>
      <c r="J29" s="571"/>
      <c r="K29" s="571"/>
      <c r="L29" s="571"/>
      <c r="O29" s="15"/>
      <c r="P29" s="12"/>
      <c r="Q29" s="12"/>
      <c r="R29" s="12"/>
      <c r="S29" s="10"/>
    </row>
    <row r="30" spans="1:19" s="41" customFormat="1" ht="13.8" x14ac:dyDescent="0.25">
      <c r="A30" s="39"/>
      <c r="B30" s="571"/>
      <c r="C30" s="571"/>
      <c r="D30" s="571"/>
      <c r="E30" s="571"/>
      <c r="F30" s="571"/>
      <c r="G30" s="571"/>
      <c r="H30" s="571"/>
      <c r="I30" s="571"/>
      <c r="J30" s="571"/>
      <c r="K30" s="571"/>
      <c r="L30" s="571"/>
      <c r="O30" s="15"/>
      <c r="P30" s="12"/>
      <c r="Q30" s="12"/>
      <c r="R30" s="12"/>
      <c r="S30" s="10"/>
    </row>
    <row r="31" spans="1:19" s="41" customFormat="1" ht="13.8"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39"/>
      <c r="B32" s="571"/>
      <c r="C32" s="571"/>
      <c r="D32" s="571"/>
      <c r="E32" s="571"/>
      <c r="F32" s="571"/>
      <c r="G32" s="571"/>
      <c r="H32" s="571"/>
      <c r="I32" s="571"/>
      <c r="J32" s="571"/>
      <c r="K32" s="571"/>
      <c r="L32" s="571"/>
      <c r="O32" s="15"/>
      <c r="P32" s="12"/>
      <c r="Q32" s="12"/>
      <c r="R32" s="12"/>
      <c r="S32" s="10"/>
    </row>
    <row r="33" spans="1:19" s="41" customFormat="1" ht="13.8" x14ac:dyDescent="0.25">
      <c r="A33" s="39"/>
      <c r="B33" s="571"/>
      <c r="C33" s="571"/>
      <c r="D33" s="571"/>
      <c r="E33" s="571"/>
      <c r="F33" s="571"/>
      <c r="G33" s="571"/>
      <c r="H33" s="571"/>
      <c r="I33" s="571"/>
      <c r="J33" s="571"/>
      <c r="K33" s="571"/>
      <c r="L33" s="571"/>
      <c r="O33" s="15"/>
      <c r="P33" s="12"/>
      <c r="Q33" s="12"/>
      <c r="R33" s="12"/>
      <c r="S33" s="10"/>
    </row>
    <row r="34" spans="1:19" s="41" customFormat="1" ht="13.8" x14ac:dyDescent="0.25">
      <c r="A34" s="39"/>
      <c r="B34" s="571"/>
      <c r="C34" s="571"/>
      <c r="D34" s="571"/>
      <c r="E34" s="571"/>
      <c r="F34" s="571"/>
      <c r="G34" s="571"/>
      <c r="H34" s="571"/>
      <c r="I34" s="571"/>
      <c r="J34" s="571"/>
      <c r="K34" s="571"/>
      <c r="L34" s="571"/>
      <c r="O34" s="15"/>
      <c r="P34" s="12"/>
      <c r="Q34" s="12"/>
      <c r="R34" s="12"/>
      <c r="S34" s="10"/>
    </row>
    <row r="35" spans="1:19" s="41" customFormat="1" ht="13.8" x14ac:dyDescent="0.25">
      <c r="A35" s="39"/>
      <c r="B35" s="571"/>
      <c r="C35" s="571"/>
      <c r="D35" s="571"/>
      <c r="E35" s="571"/>
      <c r="F35" s="571"/>
      <c r="G35" s="571"/>
      <c r="H35" s="571"/>
      <c r="I35" s="571"/>
      <c r="J35" s="571"/>
      <c r="K35" s="571"/>
      <c r="L35" s="571"/>
      <c r="O35" s="15"/>
      <c r="P35" s="12"/>
      <c r="Q35" s="12"/>
      <c r="R35" s="12"/>
      <c r="S35" s="10"/>
    </row>
    <row r="36" spans="1:19" s="41" customFormat="1" ht="13.8" x14ac:dyDescent="0.25">
      <c r="A36" s="39"/>
      <c r="B36" s="571"/>
      <c r="C36" s="571"/>
      <c r="D36" s="571"/>
      <c r="E36" s="571"/>
      <c r="F36" s="571"/>
      <c r="G36" s="571"/>
      <c r="H36" s="571"/>
      <c r="I36" s="571"/>
      <c r="J36" s="571"/>
      <c r="K36" s="571"/>
      <c r="L36" s="571"/>
      <c r="O36" s="15"/>
      <c r="P36" s="12"/>
      <c r="Q36" s="12"/>
      <c r="R36" s="12"/>
      <c r="S36" s="10"/>
    </row>
    <row r="37" spans="1:19" s="41" customFormat="1" ht="13.8" x14ac:dyDescent="0.25">
      <c r="A37" s="39"/>
      <c r="B37" s="571"/>
      <c r="C37" s="571"/>
      <c r="D37" s="571"/>
      <c r="E37" s="571"/>
      <c r="F37" s="571"/>
      <c r="G37" s="571"/>
      <c r="H37" s="571"/>
      <c r="I37" s="571"/>
      <c r="J37" s="571"/>
      <c r="K37" s="571"/>
      <c r="L37" s="571"/>
      <c r="O37" s="15"/>
      <c r="P37" s="12"/>
      <c r="Q37" s="12"/>
      <c r="R37" s="12"/>
      <c r="S37" s="10"/>
    </row>
    <row r="38" spans="1:19" s="41" customFormat="1" ht="13.8" x14ac:dyDescent="0.25">
      <c r="A38" s="39"/>
      <c r="B38" s="571"/>
      <c r="C38" s="571"/>
      <c r="D38" s="571"/>
      <c r="E38" s="571"/>
      <c r="F38" s="571"/>
      <c r="G38" s="571"/>
      <c r="H38" s="571"/>
      <c r="I38" s="571"/>
      <c r="J38" s="571"/>
      <c r="K38" s="571"/>
      <c r="L38" s="571"/>
      <c r="O38" s="15"/>
      <c r="P38" s="12"/>
      <c r="Q38" s="12"/>
      <c r="R38" s="12"/>
      <c r="S38" s="10"/>
    </row>
    <row r="39" spans="1:19" s="41" customFormat="1" ht="13.8" x14ac:dyDescent="0.25">
      <c r="A39" s="39"/>
      <c r="B39" s="571"/>
      <c r="C39" s="571"/>
      <c r="D39" s="571"/>
      <c r="E39" s="571"/>
      <c r="F39" s="571"/>
      <c r="G39" s="571"/>
      <c r="H39" s="571"/>
      <c r="I39" s="571"/>
      <c r="J39" s="571"/>
      <c r="K39" s="571"/>
      <c r="L39" s="571"/>
      <c r="O39" s="15"/>
      <c r="P39" s="12"/>
      <c r="Q39" s="12"/>
      <c r="R39" s="12"/>
      <c r="S39" s="10"/>
    </row>
    <row r="40" spans="1:19" s="41" customFormat="1" ht="13.8" x14ac:dyDescent="0.25">
      <c r="A40" s="39"/>
      <c r="B40" s="571"/>
      <c r="C40" s="571"/>
      <c r="D40" s="571"/>
      <c r="E40" s="571"/>
      <c r="F40" s="571"/>
      <c r="G40" s="571"/>
      <c r="H40" s="571"/>
      <c r="I40" s="571"/>
      <c r="J40" s="571"/>
      <c r="K40" s="571"/>
      <c r="L40" s="571"/>
      <c r="O40" s="15"/>
      <c r="P40" s="12"/>
      <c r="Q40" s="12"/>
      <c r="R40" s="12"/>
      <c r="S40" s="10"/>
    </row>
    <row r="41" spans="1:19" s="41" customFormat="1" ht="13.8" x14ac:dyDescent="0.25">
      <c r="A41" s="39"/>
      <c r="B41" s="571"/>
      <c r="C41" s="571"/>
      <c r="D41" s="571"/>
      <c r="E41" s="571"/>
      <c r="F41" s="571"/>
      <c r="G41" s="571"/>
      <c r="H41" s="571"/>
      <c r="I41" s="571"/>
      <c r="J41" s="571"/>
      <c r="K41" s="571"/>
      <c r="L41" s="571"/>
      <c r="O41" s="15"/>
      <c r="P41" s="12"/>
      <c r="Q41" s="12"/>
      <c r="R41" s="12"/>
      <c r="S41" s="10"/>
    </row>
    <row r="42" spans="1:19" s="41" customFormat="1" ht="13.8" x14ac:dyDescent="0.25">
      <c r="A42" s="39"/>
      <c r="B42" s="571"/>
      <c r="C42" s="571"/>
      <c r="D42" s="571"/>
      <c r="E42" s="571"/>
      <c r="F42" s="571"/>
      <c r="G42" s="571"/>
      <c r="H42" s="571"/>
      <c r="I42" s="571"/>
      <c r="J42" s="571"/>
      <c r="K42" s="571"/>
      <c r="L42" s="571"/>
      <c r="O42" s="15"/>
      <c r="P42" s="12"/>
      <c r="Q42" s="12"/>
      <c r="R42" s="12"/>
      <c r="S42" s="10"/>
    </row>
    <row r="43" spans="1:19" s="41" customFormat="1" ht="13.8" x14ac:dyDescent="0.25">
      <c r="A43" s="39"/>
      <c r="B43" s="571"/>
      <c r="C43" s="571"/>
      <c r="D43" s="571"/>
      <c r="E43" s="571"/>
      <c r="F43" s="571"/>
      <c r="G43" s="571"/>
      <c r="H43" s="571"/>
      <c r="I43" s="571"/>
      <c r="J43" s="571"/>
      <c r="K43" s="571"/>
      <c r="L43" s="571"/>
      <c r="O43" s="15"/>
      <c r="P43" s="12"/>
      <c r="Q43" s="12"/>
      <c r="R43" s="12"/>
      <c r="S43" s="10"/>
    </row>
    <row r="44" spans="1:19" s="41" customFormat="1" ht="13.8" x14ac:dyDescent="0.25">
      <c r="A44" s="39"/>
      <c r="B44" s="571"/>
      <c r="C44" s="571"/>
      <c r="D44" s="571"/>
      <c r="E44" s="571"/>
      <c r="F44" s="571"/>
      <c r="G44" s="571"/>
      <c r="H44" s="571"/>
      <c r="I44" s="571"/>
      <c r="J44" s="571"/>
      <c r="K44" s="571"/>
      <c r="L44" s="571"/>
      <c r="O44" s="15"/>
      <c r="P44" s="12"/>
      <c r="Q44" s="12"/>
      <c r="R44" s="12"/>
      <c r="S44" s="10"/>
    </row>
    <row r="45" spans="1:19" s="41" customFormat="1" ht="13.8" x14ac:dyDescent="0.25">
      <c r="A45" s="39"/>
      <c r="B45" s="571"/>
      <c r="C45" s="571"/>
      <c r="D45" s="571"/>
      <c r="E45" s="571"/>
      <c r="F45" s="571"/>
      <c r="G45" s="571"/>
      <c r="H45" s="571"/>
      <c r="I45" s="571"/>
      <c r="J45" s="571"/>
      <c r="K45" s="571"/>
      <c r="L45" s="571"/>
      <c r="O45" s="15"/>
      <c r="P45" s="12"/>
      <c r="Q45" s="12"/>
      <c r="R45" s="12"/>
      <c r="S45" s="10"/>
    </row>
    <row r="46" spans="1:19" s="41" customFormat="1" ht="13.8" x14ac:dyDescent="0.25">
      <c r="A46" s="39"/>
      <c r="B46" s="571"/>
      <c r="C46" s="571"/>
      <c r="D46" s="571"/>
      <c r="E46" s="571"/>
      <c r="F46" s="571"/>
      <c r="G46" s="571"/>
      <c r="H46" s="571"/>
      <c r="I46" s="571"/>
      <c r="J46" s="571"/>
      <c r="K46" s="571"/>
      <c r="L46" s="571"/>
      <c r="O46" s="15"/>
      <c r="P46" s="12"/>
      <c r="Q46" s="12"/>
      <c r="R46" s="12"/>
      <c r="S46" s="10"/>
    </row>
    <row r="47" spans="1:19" s="41" customFormat="1" ht="13.8" x14ac:dyDescent="0.25">
      <c r="A47" s="39"/>
      <c r="B47" s="571"/>
      <c r="C47" s="571"/>
      <c r="D47" s="571"/>
      <c r="E47" s="571"/>
      <c r="F47" s="571"/>
      <c r="G47" s="571"/>
      <c r="H47" s="571"/>
      <c r="I47" s="571"/>
      <c r="J47" s="571"/>
      <c r="K47" s="571"/>
      <c r="L47" s="571"/>
      <c r="O47" s="15"/>
      <c r="P47" s="12"/>
      <c r="Q47" s="12"/>
      <c r="R47" s="12"/>
      <c r="S47" s="10"/>
    </row>
    <row r="48" spans="1:19" s="41" customFormat="1" ht="13.8" x14ac:dyDescent="0.25">
      <c r="A48" s="39"/>
      <c r="B48" s="571"/>
      <c r="C48" s="571"/>
      <c r="D48" s="571"/>
      <c r="E48" s="571"/>
      <c r="F48" s="571"/>
      <c r="G48" s="571"/>
      <c r="H48" s="571"/>
      <c r="I48" s="571"/>
      <c r="J48" s="571"/>
      <c r="K48" s="571"/>
      <c r="L48" s="571"/>
      <c r="O48" s="15"/>
      <c r="P48" s="12"/>
      <c r="Q48" s="12"/>
      <c r="R48" s="12"/>
      <c r="S48" s="10"/>
    </row>
    <row r="49" spans="1:19" s="41" customFormat="1" ht="13.8" x14ac:dyDescent="0.25">
      <c r="B49" s="571"/>
      <c r="C49" s="571"/>
      <c r="D49" s="571"/>
      <c r="E49" s="571"/>
      <c r="F49" s="571"/>
      <c r="G49" s="571"/>
      <c r="H49" s="571"/>
      <c r="I49" s="571"/>
      <c r="J49" s="571"/>
      <c r="K49" s="571"/>
      <c r="L49" s="571"/>
      <c r="O49" s="15"/>
      <c r="P49" s="12"/>
      <c r="Q49" s="12"/>
      <c r="R49" s="12"/>
      <c r="S49" s="10"/>
    </row>
    <row r="50" spans="1:19" s="41" customFormat="1" ht="13.8" x14ac:dyDescent="0.25">
      <c r="B50" s="571"/>
      <c r="C50" s="571"/>
      <c r="D50" s="571"/>
      <c r="E50" s="571"/>
      <c r="F50" s="571"/>
      <c r="G50" s="571"/>
      <c r="H50" s="571"/>
      <c r="I50" s="571"/>
      <c r="J50" s="571"/>
      <c r="K50" s="571"/>
      <c r="L50" s="571"/>
      <c r="O50" s="15"/>
      <c r="P50" s="12"/>
      <c r="Q50" s="12"/>
      <c r="R50" s="12"/>
      <c r="S50" s="10"/>
    </row>
    <row r="51" spans="1:19" s="41" customFormat="1" ht="13.8" x14ac:dyDescent="0.25">
      <c r="B51" s="571"/>
      <c r="C51" s="571"/>
      <c r="D51" s="571"/>
      <c r="E51" s="571"/>
      <c r="F51" s="571"/>
      <c r="G51" s="571"/>
      <c r="H51" s="571"/>
      <c r="I51" s="571"/>
      <c r="J51" s="571"/>
      <c r="K51" s="571"/>
      <c r="L51" s="571"/>
      <c r="O51" s="15"/>
      <c r="P51" s="12"/>
      <c r="Q51" s="12"/>
      <c r="R51" s="12"/>
      <c r="S51" s="10"/>
    </row>
    <row r="52" spans="1:19" s="41" customFormat="1" ht="13.8" x14ac:dyDescent="0.25">
      <c r="B52" s="571"/>
      <c r="C52" s="571"/>
      <c r="D52" s="571"/>
      <c r="E52" s="571"/>
      <c r="F52" s="571"/>
      <c r="G52" s="571"/>
      <c r="H52" s="571"/>
      <c r="I52" s="571"/>
      <c r="J52" s="571"/>
      <c r="K52" s="571"/>
      <c r="L52" s="571"/>
      <c r="O52" s="15"/>
      <c r="P52" s="12"/>
      <c r="Q52" s="12"/>
      <c r="R52" s="12"/>
      <c r="S52" s="10"/>
    </row>
    <row r="53" spans="1:19" s="41" customFormat="1" ht="13.8" x14ac:dyDescent="0.25">
      <c r="B53" s="571"/>
      <c r="C53" s="571"/>
      <c r="D53" s="571"/>
      <c r="E53" s="571"/>
      <c r="F53" s="571"/>
      <c r="G53" s="571"/>
      <c r="H53" s="571"/>
      <c r="I53" s="571"/>
      <c r="J53" s="571"/>
      <c r="K53" s="571"/>
      <c r="L53" s="571"/>
      <c r="O53" s="15"/>
      <c r="P53" s="12"/>
      <c r="Q53" s="12"/>
      <c r="R53" s="12"/>
      <c r="S53" s="10"/>
    </row>
    <row r="54" spans="1:19" s="41" customFormat="1" ht="13.8" x14ac:dyDescent="0.25">
      <c r="B54" s="571"/>
      <c r="C54" s="571"/>
      <c r="D54" s="571"/>
      <c r="E54" s="571"/>
      <c r="F54" s="571"/>
      <c r="G54" s="571"/>
      <c r="H54" s="571"/>
      <c r="I54" s="571"/>
      <c r="J54" s="571"/>
      <c r="K54" s="571"/>
      <c r="L54" s="571"/>
      <c r="O54" s="15"/>
      <c r="P54" s="12"/>
      <c r="Q54" s="12"/>
      <c r="R54" s="12"/>
      <c r="S54" s="10"/>
    </row>
    <row r="55" spans="1:19" s="41" customFormat="1" ht="13.8" x14ac:dyDescent="0.25">
      <c r="A55" s="39"/>
      <c r="B55" s="571"/>
      <c r="C55" s="571"/>
      <c r="D55" s="571"/>
      <c r="E55" s="571"/>
      <c r="F55" s="571"/>
      <c r="G55" s="571"/>
      <c r="H55" s="571"/>
      <c r="I55" s="571"/>
      <c r="J55" s="571"/>
      <c r="K55" s="571"/>
      <c r="L55" s="571"/>
      <c r="O55" s="15"/>
      <c r="P55" s="12"/>
      <c r="Q55" s="12"/>
      <c r="R55" s="12"/>
      <c r="S55" s="10"/>
    </row>
    <row r="56" spans="1:19" s="41" customFormat="1" ht="13.8" x14ac:dyDescent="0.25">
      <c r="A56" s="172"/>
      <c r="B56" s="571"/>
      <c r="C56" s="571"/>
      <c r="D56" s="571"/>
      <c r="E56" s="571"/>
      <c r="F56" s="571"/>
      <c r="G56" s="571"/>
      <c r="H56" s="571"/>
      <c r="I56" s="571"/>
      <c r="J56" s="571"/>
      <c r="K56" s="571"/>
      <c r="L56" s="571"/>
      <c r="O56" s="15"/>
      <c r="P56" s="12"/>
      <c r="Q56" s="12"/>
      <c r="R56" s="12"/>
      <c r="S56" s="10"/>
    </row>
    <row r="57" spans="1:19" s="41" customFormat="1" ht="13.8" x14ac:dyDescent="0.25">
      <c r="A57" s="172"/>
      <c r="B57" s="571"/>
      <c r="C57" s="571"/>
      <c r="D57" s="571"/>
      <c r="E57" s="571"/>
      <c r="F57" s="571"/>
      <c r="G57" s="571"/>
      <c r="H57" s="571"/>
      <c r="I57" s="571"/>
      <c r="J57" s="571"/>
      <c r="K57" s="571"/>
      <c r="L57" s="571"/>
      <c r="O57" s="15"/>
      <c r="P57" s="12"/>
      <c r="Q57" s="12"/>
      <c r="R57" s="12"/>
      <c r="S57" s="10"/>
    </row>
    <row r="58" spans="1:19" s="41" customFormat="1" ht="13.8" x14ac:dyDescent="0.25">
      <c r="A58" s="172"/>
      <c r="B58" s="571"/>
      <c r="C58" s="571"/>
      <c r="D58" s="571"/>
      <c r="E58" s="571"/>
      <c r="F58" s="571"/>
      <c r="G58" s="571"/>
      <c r="H58" s="571"/>
      <c r="I58" s="571"/>
      <c r="J58" s="571"/>
      <c r="K58" s="571"/>
      <c r="L58" s="571"/>
      <c r="O58" s="15"/>
      <c r="P58" s="12"/>
      <c r="Q58" s="12"/>
      <c r="R58" s="12"/>
      <c r="S58" s="10"/>
    </row>
    <row r="59" spans="1:19" s="41" customFormat="1" ht="13.8" x14ac:dyDescent="0.25">
      <c r="A59" s="172"/>
      <c r="B59" s="571"/>
      <c r="C59" s="571"/>
      <c r="D59" s="571"/>
      <c r="E59" s="571"/>
      <c r="F59" s="571"/>
      <c r="G59" s="571"/>
      <c r="H59" s="571"/>
      <c r="I59" s="571"/>
      <c r="J59" s="571"/>
      <c r="K59" s="571"/>
      <c r="L59" s="571"/>
      <c r="O59" s="15"/>
      <c r="P59" s="12"/>
      <c r="Q59" s="12"/>
      <c r="R59" s="12"/>
      <c r="S59" s="10"/>
    </row>
    <row r="60" spans="1:19" s="41" customFormat="1" ht="13.8" x14ac:dyDescent="0.25">
      <c r="A60" s="172"/>
      <c r="B60" s="571"/>
      <c r="C60" s="571"/>
      <c r="D60" s="571"/>
      <c r="E60" s="571"/>
      <c r="F60" s="571"/>
      <c r="G60" s="571"/>
      <c r="H60" s="571"/>
      <c r="I60" s="571"/>
      <c r="J60" s="571"/>
      <c r="K60" s="571"/>
      <c r="L60" s="571"/>
      <c r="O60" s="15"/>
      <c r="P60" s="12"/>
      <c r="Q60" s="12"/>
      <c r="R60" s="12"/>
      <c r="S60" s="10"/>
    </row>
    <row r="61" spans="1:19" s="41" customFormat="1" ht="13.8" x14ac:dyDescent="0.25">
      <c r="A61" s="172"/>
      <c r="B61" s="571"/>
      <c r="C61" s="571"/>
      <c r="D61" s="571"/>
      <c r="E61" s="571"/>
      <c r="F61" s="571"/>
      <c r="G61" s="571"/>
      <c r="H61" s="571"/>
      <c r="I61" s="571"/>
      <c r="J61" s="571"/>
      <c r="K61" s="571"/>
      <c r="L61" s="571"/>
      <c r="O61" s="15"/>
      <c r="P61" s="12"/>
      <c r="Q61" s="12"/>
      <c r="R61" s="12"/>
      <c r="S61" s="10"/>
    </row>
    <row r="62" spans="1:19" s="41" customFormat="1" ht="13.8" x14ac:dyDescent="0.25">
      <c r="A62" s="172"/>
      <c r="B62" s="571"/>
      <c r="C62" s="571"/>
      <c r="D62" s="571"/>
      <c r="E62" s="571"/>
      <c r="F62" s="571"/>
      <c r="G62" s="571"/>
      <c r="H62" s="571"/>
      <c r="I62" s="571"/>
      <c r="J62" s="571"/>
      <c r="K62" s="571"/>
      <c r="L62" s="571"/>
      <c r="O62" s="15"/>
      <c r="P62" s="12"/>
      <c r="Q62" s="12"/>
      <c r="R62" s="12"/>
      <c r="S62" s="10"/>
    </row>
    <row r="63" spans="1:19" s="41" customFormat="1" ht="13.8" x14ac:dyDescent="0.25">
      <c r="A63" s="172"/>
      <c r="B63" s="571"/>
      <c r="C63" s="571"/>
      <c r="D63" s="571"/>
      <c r="E63" s="571"/>
      <c r="F63" s="571"/>
      <c r="G63" s="571"/>
      <c r="H63" s="571"/>
      <c r="I63" s="571"/>
      <c r="J63" s="571"/>
      <c r="K63" s="571"/>
      <c r="L63" s="571"/>
      <c r="O63" s="15"/>
      <c r="P63" s="12"/>
      <c r="Q63" s="12"/>
      <c r="R63" s="12"/>
      <c r="S63" s="10"/>
    </row>
    <row r="64" spans="1:19" s="41" customFormat="1" ht="13.8" x14ac:dyDescent="0.25">
      <c r="A64" s="172"/>
      <c r="B64" s="571"/>
      <c r="C64" s="571"/>
      <c r="D64" s="571"/>
      <c r="E64" s="571"/>
      <c r="F64" s="571"/>
      <c r="G64" s="571"/>
      <c r="H64" s="571"/>
      <c r="I64" s="571"/>
      <c r="J64" s="571"/>
      <c r="K64" s="571"/>
      <c r="L64" s="571"/>
      <c r="O64" s="15"/>
      <c r="P64" s="12"/>
      <c r="Q64" s="12"/>
      <c r="R64" s="12"/>
      <c r="S64" s="10"/>
    </row>
    <row r="65" spans="1:19" s="41" customFormat="1" ht="13.8" x14ac:dyDescent="0.25">
      <c r="A65" s="172"/>
      <c r="B65" s="571"/>
      <c r="C65" s="571"/>
      <c r="D65" s="571"/>
      <c r="E65" s="571"/>
      <c r="F65" s="571"/>
      <c r="G65" s="571"/>
      <c r="H65" s="571"/>
      <c r="I65" s="571"/>
      <c r="J65" s="571"/>
      <c r="K65" s="571"/>
      <c r="L65" s="571"/>
      <c r="O65" s="15"/>
      <c r="P65" s="12"/>
      <c r="Q65" s="12"/>
      <c r="R65" s="12"/>
      <c r="S65" s="10"/>
    </row>
    <row r="66" spans="1:19" s="41" customFormat="1" ht="13.8" x14ac:dyDescent="0.25">
      <c r="A66" s="172"/>
      <c r="B66" s="571"/>
      <c r="C66" s="571"/>
      <c r="D66" s="571"/>
      <c r="E66" s="571"/>
      <c r="F66" s="571"/>
      <c r="G66" s="571"/>
      <c r="H66" s="571"/>
      <c r="I66" s="571"/>
      <c r="J66" s="571"/>
      <c r="K66" s="571"/>
      <c r="L66" s="571"/>
      <c r="O66" s="15"/>
      <c r="P66" s="12"/>
      <c r="Q66" s="12"/>
      <c r="R66" s="12"/>
      <c r="S66" s="10"/>
    </row>
    <row r="67" spans="1:19" s="41" customFormat="1" ht="13.8" x14ac:dyDescent="0.25">
      <c r="A67" s="172"/>
      <c r="B67" s="571"/>
      <c r="C67" s="571"/>
      <c r="D67" s="571"/>
      <c r="E67" s="571"/>
      <c r="F67" s="571"/>
      <c r="G67" s="571"/>
      <c r="H67" s="571"/>
      <c r="I67" s="571"/>
      <c r="J67" s="571"/>
      <c r="K67" s="571"/>
      <c r="L67" s="571"/>
      <c r="O67" s="15"/>
      <c r="P67" s="12"/>
      <c r="Q67" s="12"/>
      <c r="R67" s="12"/>
      <c r="S67" s="10"/>
    </row>
    <row r="68" spans="1:19" s="41" customFormat="1" ht="13.8" x14ac:dyDescent="0.25">
      <c r="A68" s="172"/>
      <c r="B68" s="571"/>
      <c r="C68" s="571"/>
      <c r="D68" s="571"/>
      <c r="E68" s="571"/>
      <c r="F68" s="571"/>
      <c r="G68" s="571"/>
      <c r="H68" s="571"/>
      <c r="I68" s="571"/>
      <c r="J68" s="571"/>
      <c r="K68" s="571"/>
      <c r="L68" s="571"/>
      <c r="O68" s="15"/>
      <c r="P68" s="12"/>
      <c r="Q68" s="12"/>
      <c r="R68" s="12"/>
      <c r="S68" s="10"/>
    </row>
    <row r="69" spans="1:19" s="41" customFormat="1" ht="13.8" x14ac:dyDescent="0.25">
      <c r="A69" s="172"/>
      <c r="B69" s="571"/>
      <c r="C69" s="571"/>
      <c r="D69" s="571"/>
      <c r="E69" s="571"/>
      <c r="F69" s="571"/>
      <c r="G69" s="571"/>
      <c r="H69" s="571"/>
      <c r="I69" s="571"/>
      <c r="J69" s="571"/>
      <c r="K69" s="571"/>
      <c r="L69" s="571"/>
      <c r="O69" s="15"/>
      <c r="P69" s="12"/>
      <c r="Q69" s="12"/>
      <c r="R69" s="12"/>
      <c r="S69" s="10"/>
    </row>
    <row r="70" spans="1:19" s="41" customFormat="1" ht="13.8" x14ac:dyDescent="0.25">
      <c r="A70" s="172"/>
      <c r="B70" s="571"/>
      <c r="C70" s="571"/>
      <c r="D70" s="571"/>
      <c r="E70" s="571"/>
      <c r="F70" s="571"/>
      <c r="G70" s="571"/>
      <c r="H70" s="571"/>
      <c r="I70" s="571"/>
      <c r="J70" s="571"/>
      <c r="K70" s="571"/>
      <c r="L70" s="571"/>
      <c r="O70" s="15"/>
      <c r="P70" s="12"/>
      <c r="Q70" s="12"/>
      <c r="R70" s="12"/>
      <c r="S70" s="10"/>
    </row>
    <row r="71" spans="1:19" s="41" customFormat="1" ht="14.25" customHeight="1" x14ac:dyDescent="0.25">
      <c r="A71" s="172"/>
      <c r="B71" s="571"/>
      <c r="C71" s="571"/>
      <c r="D71" s="571"/>
      <c r="E71" s="571"/>
      <c r="F71" s="571"/>
      <c r="G71" s="571"/>
      <c r="H71" s="571"/>
      <c r="I71" s="571"/>
      <c r="J71" s="571"/>
      <c r="K71" s="571"/>
      <c r="L71" s="571"/>
      <c r="O71" s="15"/>
      <c r="P71" s="12"/>
      <c r="Q71" s="12"/>
      <c r="R71" s="12"/>
      <c r="S71" s="10"/>
    </row>
    <row r="72" spans="1:19" s="41" customFormat="1" ht="14.25" customHeight="1" x14ac:dyDescent="0.25">
      <c r="A72" s="172"/>
      <c r="B72" s="571"/>
      <c r="C72" s="571"/>
      <c r="D72" s="571"/>
      <c r="E72" s="571"/>
      <c r="F72" s="571"/>
      <c r="G72" s="571"/>
      <c r="H72" s="571"/>
      <c r="I72" s="571"/>
      <c r="J72" s="571"/>
      <c r="K72" s="571"/>
      <c r="L72" s="571"/>
      <c r="O72" s="15"/>
      <c r="P72" s="12"/>
      <c r="Q72" s="12"/>
      <c r="R72" s="12"/>
      <c r="S72" s="10"/>
    </row>
    <row r="73" spans="1:19" s="41" customFormat="1" ht="14.25" customHeight="1" x14ac:dyDescent="0.25">
      <c r="A73" s="172"/>
      <c r="B73" s="571"/>
      <c r="C73" s="571"/>
      <c r="D73" s="571"/>
      <c r="E73" s="571"/>
      <c r="F73" s="571"/>
      <c r="G73" s="571"/>
      <c r="H73" s="571"/>
      <c r="I73" s="571"/>
      <c r="J73" s="571"/>
      <c r="K73" s="571"/>
      <c r="L73" s="571"/>
      <c r="O73" s="15"/>
      <c r="P73" s="12"/>
      <c r="Q73" s="12"/>
      <c r="R73" s="12"/>
      <c r="S73" s="10"/>
    </row>
    <row r="74" spans="1:19" s="41" customFormat="1" ht="14.25" customHeight="1" x14ac:dyDescent="0.25">
      <c r="A74" s="172"/>
      <c r="B74" s="571"/>
      <c r="C74" s="571"/>
      <c r="D74" s="571"/>
      <c r="E74" s="571"/>
      <c r="F74" s="571"/>
      <c r="G74" s="571"/>
      <c r="H74" s="571"/>
      <c r="I74" s="571"/>
      <c r="J74" s="571"/>
      <c r="K74" s="571"/>
      <c r="L74" s="571"/>
      <c r="O74" s="15"/>
      <c r="P74" s="12"/>
      <c r="Q74" s="12"/>
      <c r="R74" s="12"/>
      <c r="S74" s="10"/>
    </row>
    <row r="75" spans="1:19" s="41" customFormat="1" ht="14.25" customHeight="1" x14ac:dyDescent="0.25">
      <c r="A75" s="172"/>
      <c r="B75" s="571"/>
      <c r="C75" s="571"/>
      <c r="D75" s="571"/>
      <c r="E75" s="571"/>
      <c r="F75" s="571"/>
      <c r="G75" s="571"/>
      <c r="H75" s="571"/>
      <c r="I75" s="571"/>
      <c r="J75" s="571"/>
      <c r="K75" s="571"/>
      <c r="L75" s="571"/>
      <c r="O75" s="15"/>
      <c r="P75" s="12"/>
      <c r="Q75" s="12"/>
      <c r="R75" s="12"/>
      <c r="S75" s="10"/>
    </row>
    <row r="76" spans="1:19" s="41" customFormat="1" ht="14.25" customHeight="1" x14ac:dyDescent="0.25">
      <c r="A76" s="172"/>
      <c r="B76" s="571"/>
      <c r="C76" s="571"/>
      <c r="D76" s="571"/>
      <c r="E76" s="571"/>
      <c r="F76" s="571"/>
      <c r="G76" s="571"/>
      <c r="H76" s="571"/>
      <c r="I76" s="571"/>
      <c r="J76" s="571"/>
      <c r="K76" s="571"/>
      <c r="L76" s="571"/>
      <c r="O76" s="15"/>
      <c r="P76" s="12"/>
      <c r="Q76" s="12"/>
      <c r="R76" s="12"/>
      <c r="S76" s="10"/>
    </row>
    <row r="77" spans="1:19" s="41" customFormat="1" ht="14.25" customHeight="1" x14ac:dyDescent="0.25">
      <c r="A77" s="172"/>
      <c r="B77" s="571"/>
      <c r="C77" s="571"/>
      <c r="D77" s="571"/>
      <c r="E77" s="571"/>
      <c r="F77" s="571"/>
      <c r="G77" s="571"/>
      <c r="H77" s="571"/>
      <c r="I77" s="571"/>
      <c r="J77" s="571"/>
      <c r="K77" s="571"/>
      <c r="L77" s="571"/>
      <c r="O77" s="15"/>
      <c r="P77" s="12"/>
      <c r="Q77" s="12"/>
      <c r="R77" s="12"/>
      <c r="S77" s="10"/>
    </row>
    <row r="78" spans="1:19" s="41" customFormat="1" ht="14.25" customHeight="1" x14ac:dyDescent="0.25">
      <c r="A78" s="172"/>
      <c r="B78" s="571"/>
      <c r="C78" s="571"/>
      <c r="D78" s="571"/>
      <c r="E78" s="571"/>
      <c r="F78" s="571"/>
      <c r="G78" s="571"/>
      <c r="H78" s="571"/>
      <c r="I78" s="571"/>
      <c r="J78" s="571"/>
      <c r="K78" s="571"/>
      <c r="L78" s="571"/>
      <c r="O78" s="15"/>
      <c r="P78" s="12"/>
      <c r="Q78" s="12"/>
      <c r="R78" s="12"/>
      <c r="S78" s="10"/>
    </row>
    <row r="79" spans="1:19" s="41" customFormat="1" ht="14.25" customHeight="1" x14ac:dyDescent="0.25">
      <c r="A79" s="172"/>
      <c r="B79" s="571"/>
      <c r="C79" s="571"/>
      <c r="D79" s="571"/>
      <c r="E79" s="571"/>
      <c r="F79" s="571"/>
      <c r="G79" s="571"/>
      <c r="H79" s="571"/>
      <c r="I79" s="571"/>
      <c r="J79" s="571"/>
      <c r="K79" s="571"/>
      <c r="L79" s="571"/>
      <c r="O79" s="15"/>
      <c r="P79" s="12"/>
      <c r="Q79" s="12"/>
      <c r="R79" s="12"/>
      <c r="S79" s="10"/>
    </row>
    <row r="80" spans="1:19" s="41" customFormat="1" ht="14.25" customHeight="1" x14ac:dyDescent="0.25">
      <c r="A80" s="172"/>
      <c r="B80" s="571"/>
      <c r="C80" s="571"/>
      <c r="D80" s="571"/>
      <c r="E80" s="571"/>
      <c r="F80" s="571"/>
      <c r="G80" s="571"/>
      <c r="H80" s="571"/>
      <c r="I80" s="571"/>
      <c r="J80" s="571"/>
      <c r="K80" s="571"/>
      <c r="L80" s="571"/>
      <c r="O80" s="15"/>
      <c r="P80" s="12"/>
      <c r="Q80" s="12"/>
      <c r="R80" s="12"/>
      <c r="S80" s="10"/>
    </row>
    <row r="81" spans="1:23" s="41" customFormat="1" ht="14.25" customHeight="1" x14ac:dyDescent="0.25">
      <c r="A81" s="172"/>
      <c r="B81" s="571"/>
      <c r="C81" s="571"/>
      <c r="D81" s="571"/>
      <c r="E81" s="571"/>
      <c r="F81" s="571"/>
      <c r="G81" s="571"/>
      <c r="H81" s="571"/>
      <c r="I81" s="571"/>
      <c r="J81" s="571"/>
      <c r="K81" s="571"/>
      <c r="L81" s="571"/>
      <c r="O81" s="15"/>
      <c r="P81" s="12"/>
      <c r="Q81" s="12"/>
      <c r="R81" s="12"/>
      <c r="S81" s="10"/>
    </row>
    <row r="82" spans="1:23" s="41" customFormat="1" ht="14.25" customHeight="1" x14ac:dyDescent="0.25">
      <c r="A82" s="172"/>
      <c r="B82" s="571"/>
      <c r="C82" s="571"/>
      <c r="D82" s="571"/>
      <c r="E82" s="571"/>
      <c r="F82" s="571"/>
      <c r="G82" s="571"/>
      <c r="H82" s="571"/>
      <c r="I82" s="571"/>
      <c r="J82" s="571"/>
      <c r="K82" s="571"/>
      <c r="L82" s="571"/>
      <c r="O82" s="15"/>
      <c r="P82" s="12"/>
      <c r="Q82" s="12"/>
      <c r="R82" s="12"/>
      <c r="S82" s="10"/>
    </row>
    <row r="83" spans="1:23" s="41" customFormat="1" ht="14.25" customHeight="1" x14ac:dyDescent="0.25">
      <c r="A83" s="172"/>
      <c r="B83" s="571"/>
      <c r="C83" s="571"/>
      <c r="D83" s="571"/>
      <c r="E83" s="571"/>
      <c r="F83" s="571"/>
      <c r="G83" s="571"/>
      <c r="H83" s="571"/>
      <c r="I83" s="571"/>
      <c r="J83" s="571"/>
      <c r="K83" s="571"/>
      <c r="L83" s="571"/>
      <c r="O83" s="15"/>
      <c r="P83" s="12"/>
      <c r="Q83" s="12"/>
      <c r="R83" s="12"/>
      <c r="S83" s="10"/>
    </row>
    <row r="84" spans="1:23" s="41" customFormat="1" ht="14.25" customHeight="1" x14ac:dyDescent="0.25">
      <c r="A84" s="172"/>
      <c r="B84" s="571"/>
      <c r="C84" s="571"/>
      <c r="D84" s="571"/>
      <c r="E84" s="571"/>
      <c r="F84" s="571"/>
      <c r="G84" s="571"/>
      <c r="H84" s="571"/>
      <c r="I84" s="571"/>
      <c r="J84" s="571"/>
      <c r="K84" s="571"/>
      <c r="L84" s="571"/>
      <c r="O84" s="15"/>
      <c r="P84" s="12"/>
      <c r="Q84" s="12"/>
      <c r="R84" s="12"/>
      <c r="S84" s="10"/>
    </row>
    <row r="85" spans="1:23" s="41" customFormat="1" ht="14.25" customHeight="1" x14ac:dyDescent="0.25">
      <c r="A85" s="172"/>
      <c r="B85" s="571"/>
      <c r="C85" s="571"/>
      <c r="D85" s="571"/>
      <c r="E85" s="571"/>
      <c r="F85" s="571"/>
      <c r="G85" s="571"/>
      <c r="H85" s="571"/>
      <c r="I85" s="571"/>
      <c r="J85" s="571"/>
      <c r="K85" s="571"/>
      <c r="L85" s="571"/>
      <c r="O85" s="15"/>
      <c r="P85" s="12"/>
      <c r="Q85" s="12"/>
      <c r="R85" s="12"/>
      <c r="S85" s="10"/>
    </row>
    <row r="86" spans="1:23" s="41" customFormat="1" ht="14.25" customHeight="1" x14ac:dyDescent="0.25">
      <c r="A86" s="172"/>
      <c r="B86" s="571"/>
      <c r="C86" s="571"/>
      <c r="D86" s="571"/>
      <c r="E86" s="571"/>
      <c r="F86" s="571"/>
      <c r="G86" s="571"/>
      <c r="H86" s="571"/>
      <c r="I86" s="571"/>
      <c r="J86" s="571"/>
      <c r="K86" s="571"/>
      <c r="L86" s="571"/>
      <c r="O86" s="15"/>
      <c r="P86" s="12"/>
      <c r="Q86" s="12"/>
      <c r="R86" s="12"/>
      <c r="S86" s="10"/>
    </row>
    <row r="87" spans="1:23" s="41" customFormat="1" ht="14.25" customHeight="1" x14ac:dyDescent="0.25">
      <c r="A87" s="172"/>
      <c r="B87" s="571"/>
      <c r="C87" s="571"/>
      <c r="D87" s="571"/>
      <c r="E87" s="571"/>
      <c r="F87" s="571"/>
      <c r="G87" s="571"/>
      <c r="H87" s="571"/>
      <c r="I87" s="571"/>
      <c r="J87" s="571"/>
      <c r="K87" s="571"/>
      <c r="L87" s="571"/>
      <c r="O87" s="15"/>
      <c r="P87" s="12"/>
      <c r="Q87" s="12"/>
      <c r="R87" s="12"/>
      <c r="S87" s="10"/>
    </row>
    <row r="88" spans="1:23" s="41" customFormat="1" ht="14.25" customHeight="1" x14ac:dyDescent="0.25">
      <c r="A88" s="172"/>
      <c r="B88" s="571"/>
      <c r="C88" s="571"/>
      <c r="D88" s="571"/>
      <c r="E88" s="571"/>
      <c r="F88" s="571"/>
      <c r="G88" s="571"/>
      <c r="H88" s="571"/>
      <c r="I88" s="571"/>
      <c r="J88" s="571"/>
      <c r="K88" s="571"/>
      <c r="L88" s="571"/>
      <c r="O88" s="15"/>
      <c r="P88" s="12"/>
      <c r="Q88" s="12"/>
      <c r="R88" s="12"/>
      <c r="S88" s="10"/>
    </row>
    <row r="89" spans="1:23" s="41" customFormat="1" ht="14.25" customHeight="1" x14ac:dyDescent="0.25">
      <c r="A89" s="172"/>
      <c r="B89" s="571"/>
      <c r="C89" s="571"/>
      <c r="D89" s="571"/>
      <c r="E89" s="571"/>
      <c r="F89" s="571"/>
      <c r="G89" s="571"/>
      <c r="H89" s="571"/>
      <c r="I89" s="571"/>
      <c r="J89" s="571"/>
      <c r="K89" s="571"/>
      <c r="L89" s="571"/>
      <c r="O89" s="15"/>
      <c r="P89" s="12"/>
      <c r="Q89" s="12"/>
      <c r="R89" s="12"/>
      <c r="S89" s="10"/>
    </row>
    <row r="90" spans="1:23" s="41" customFormat="1" ht="14.25" customHeight="1" x14ac:dyDescent="0.25">
      <c r="A90" s="172"/>
      <c r="B90" s="571"/>
      <c r="C90" s="571"/>
      <c r="D90" s="571"/>
      <c r="E90" s="571"/>
      <c r="F90" s="571"/>
      <c r="G90" s="571"/>
      <c r="H90" s="571"/>
      <c r="I90" s="571"/>
      <c r="J90" s="571"/>
      <c r="K90" s="571"/>
      <c r="L90" s="571"/>
      <c r="O90" s="15"/>
      <c r="P90" s="12"/>
      <c r="Q90" s="12"/>
      <c r="R90" s="12"/>
      <c r="S90" s="10"/>
    </row>
    <row r="91" spans="1:23" s="41" customFormat="1" ht="14.25" customHeight="1" x14ac:dyDescent="0.25">
      <c r="A91" s="172"/>
      <c r="B91" s="571"/>
      <c r="C91" s="571"/>
      <c r="D91" s="571"/>
      <c r="E91" s="571"/>
      <c r="F91" s="571"/>
      <c r="G91" s="571"/>
      <c r="H91" s="571"/>
      <c r="I91" s="571"/>
      <c r="J91" s="571"/>
      <c r="K91" s="571"/>
      <c r="L91" s="571"/>
      <c r="O91" s="15"/>
      <c r="P91" s="12"/>
      <c r="Q91" s="12"/>
      <c r="R91" s="12"/>
      <c r="S91" s="10"/>
    </row>
    <row r="92" spans="1:23" s="41" customFormat="1" ht="14.25" customHeight="1" x14ac:dyDescent="0.25">
      <c r="A92" s="172"/>
      <c r="B92" s="571"/>
      <c r="C92" s="571"/>
      <c r="D92" s="571"/>
      <c r="E92" s="571"/>
      <c r="F92" s="571"/>
      <c r="G92" s="571"/>
      <c r="H92" s="571"/>
      <c r="I92" s="571"/>
      <c r="J92" s="571"/>
      <c r="K92" s="571"/>
      <c r="L92" s="571"/>
      <c r="O92" s="15"/>
      <c r="P92" s="12"/>
      <c r="Q92" s="12"/>
      <c r="R92" s="12"/>
      <c r="S92" s="10"/>
    </row>
    <row r="93" spans="1:23" s="41" customFormat="1" ht="14.25" customHeight="1" x14ac:dyDescent="0.25">
      <c r="A93" s="172"/>
      <c r="B93" s="571"/>
      <c r="C93" s="571"/>
      <c r="D93" s="571"/>
      <c r="E93" s="571"/>
      <c r="F93" s="571"/>
      <c r="G93" s="571"/>
      <c r="H93" s="571"/>
      <c r="I93" s="571"/>
      <c r="J93" s="571"/>
      <c r="K93" s="571"/>
      <c r="L93" s="571"/>
      <c r="O93" s="15"/>
      <c r="P93" s="12"/>
      <c r="Q93" s="12"/>
      <c r="R93" s="12"/>
      <c r="S93" s="10"/>
    </row>
    <row r="94" spans="1:23" s="41" customFormat="1" ht="14.25" customHeight="1" x14ac:dyDescent="0.25">
      <c r="A94" s="172"/>
      <c r="B94" s="571"/>
      <c r="C94" s="571"/>
      <c r="D94" s="571"/>
      <c r="E94" s="571"/>
      <c r="F94" s="571"/>
      <c r="G94" s="571"/>
      <c r="H94" s="571"/>
      <c r="I94" s="571"/>
      <c r="J94" s="571"/>
      <c r="K94" s="571"/>
      <c r="L94" s="571"/>
      <c r="O94" s="15"/>
      <c r="P94" s="12"/>
      <c r="Q94" s="12"/>
      <c r="R94" s="12"/>
      <c r="S94" s="10"/>
    </row>
    <row r="95" spans="1:23" s="41" customFormat="1" ht="14.25" customHeight="1" x14ac:dyDescent="0.25">
      <c r="A95" s="172"/>
      <c r="B95" s="571"/>
      <c r="C95" s="571"/>
      <c r="D95" s="571"/>
      <c r="E95" s="571"/>
      <c r="F95" s="571"/>
      <c r="G95" s="571"/>
      <c r="H95" s="571"/>
      <c r="I95" s="571"/>
      <c r="J95" s="571"/>
      <c r="K95" s="571"/>
      <c r="L95" s="571"/>
      <c r="O95" s="15"/>
      <c r="P95" s="12"/>
      <c r="Q95" s="12"/>
      <c r="R95" s="12"/>
      <c r="S95" s="10"/>
    </row>
    <row r="96" spans="1:23" s="41" customFormat="1" ht="13.8" x14ac:dyDescent="0.25">
      <c r="A96" s="65"/>
      <c r="B96" s="200"/>
      <c r="C96" s="200"/>
      <c r="D96" s="200"/>
      <c r="E96" s="200"/>
      <c r="F96" s="200"/>
      <c r="G96" s="200"/>
      <c r="H96" s="200"/>
      <c r="I96" s="200"/>
      <c r="J96" s="67"/>
      <c r="K96" s="67"/>
      <c r="L96" s="47"/>
      <c r="M96" s="47"/>
      <c r="O96" s="43"/>
      <c r="W96" s="40"/>
    </row>
    <row r="97" spans="1:23" s="41" customFormat="1" ht="8.25" customHeight="1" x14ac:dyDescent="0.25">
      <c r="A97" s="60"/>
      <c r="B97" s="206"/>
      <c r="C97" s="206"/>
      <c r="D97" s="206"/>
      <c r="E97" s="206"/>
      <c r="F97" s="206"/>
      <c r="G97" s="206"/>
      <c r="H97" s="206"/>
      <c r="I97" s="206"/>
      <c r="J97" s="179"/>
      <c r="K97" s="179"/>
      <c r="L97" s="176"/>
      <c r="M97" s="176"/>
      <c r="O97" s="43"/>
      <c r="W97" s="40"/>
    </row>
    <row r="98" spans="1:23" s="41" customFormat="1" ht="13.8" x14ac:dyDescent="0.25">
      <c r="A98" s="43"/>
      <c r="B98" s="48" t="s">
        <v>26</v>
      </c>
      <c r="D98" s="42"/>
      <c r="E98" s="42"/>
      <c r="F98" s="42"/>
      <c r="G98" s="42"/>
      <c r="H98" s="49"/>
      <c r="I98" s="50"/>
      <c r="J98" s="51"/>
      <c r="K98" s="51"/>
      <c r="O98" s="15"/>
      <c r="P98" s="12"/>
      <c r="Q98" s="12"/>
      <c r="R98" s="12"/>
      <c r="S98" s="37"/>
    </row>
    <row r="99" spans="1:23" s="41" customFormat="1" ht="13.8" x14ac:dyDescent="0.25">
      <c r="A99" s="43"/>
      <c r="B99" s="52"/>
      <c r="D99" s="42"/>
      <c r="E99" s="42"/>
      <c r="F99" s="42"/>
      <c r="G99" s="42"/>
      <c r="H99" s="53"/>
      <c r="I99" s="53" t="s">
        <v>27</v>
      </c>
      <c r="J99" s="42"/>
      <c r="L99" s="54" t="s">
        <v>28</v>
      </c>
      <c r="O99" s="15"/>
      <c r="P99" s="12"/>
      <c r="Q99" s="12"/>
      <c r="R99" s="12"/>
      <c r="S99" s="37"/>
    </row>
    <row r="100" spans="1:23" s="41" customFormat="1" ht="13.8" x14ac:dyDescent="0.25">
      <c r="A100" s="43"/>
      <c r="B100" s="376" t="s">
        <v>385</v>
      </c>
      <c r="D100" s="254"/>
      <c r="E100" s="254"/>
      <c r="F100" s="254"/>
      <c r="G100" s="254"/>
      <c r="H100" s="53"/>
      <c r="I100" s="53"/>
      <c r="J100" s="254"/>
      <c r="L100" s="54"/>
      <c r="O100" s="15"/>
      <c r="P100" s="12"/>
      <c r="Q100" s="12"/>
      <c r="R100" s="12"/>
      <c r="S100" s="37"/>
    </row>
    <row r="101" spans="1:23" s="41" customFormat="1" ht="13.8" x14ac:dyDescent="0.25">
      <c r="A101" s="43"/>
      <c r="B101" s="55" t="s">
        <v>29</v>
      </c>
      <c r="C101" s="285" t="s">
        <v>322</v>
      </c>
      <c r="D101" s="482"/>
      <c r="E101" s="482"/>
      <c r="F101" s="482"/>
      <c r="G101" s="261"/>
      <c r="H101" s="261"/>
      <c r="I101" s="481" t="s">
        <v>19</v>
      </c>
      <c r="J101" s="481"/>
      <c r="K101" s="481"/>
      <c r="L101" s="219">
        <v>955000</v>
      </c>
      <c r="M101" s="331"/>
      <c r="N101" s="331"/>
      <c r="O101" s="343"/>
      <c r="P101" s="331"/>
      <c r="Q101" s="331"/>
      <c r="R101" s="331"/>
      <c r="S101" s="344"/>
      <c r="T101" s="331"/>
    </row>
    <row r="102" spans="1:23" s="41" customFormat="1" ht="13.8" x14ac:dyDescent="0.25">
      <c r="A102" s="43"/>
      <c r="B102" s="55" t="s">
        <v>30</v>
      </c>
      <c r="C102" s="285" t="s">
        <v>324</v>
      </c>
      <c r="D102" s="482"/>
      <c r="E102" s="482"/>
      <c r="F102" s="482"/>
      <c r="G102" s="261"/>
      <c r="H102" s="261"/>
      <c r="I102" s="481" t="s">
        <v>3</v>
      </c>
      <c r="J102" s="481"/>
      <c r="K102" s="481"/>
      <c r="L102" s="220">
        <v>100000</v>
      </c>
      <c r="M102" s="331"/>
      <c r="N102" s="331"/>
      <c r="O102" s="343"/>
      <c r="P102" s="331"/>
      <c r="Q102" s="331"/>
      <c r="R102" s="331"/>
      <c r="S102" s="344"/>
      <c r="T102" s="331"/>
    </row>
    <row r="103" spans="1:23" s="41" customFormat="1" ht="13.8" x14ac:dyDescent="0.25">
      <c r="A103" s="43"/>
      <c r="B103" s="55" t="s">
        <v>31</v>
      </c>
      <c r="C103" s="264" t="s">
        <v>323</v>
      </c>
      <c r="D103" s="482"/>
      <c r="E103" s="482"/>
      <c r="F103" s="482"/>
      <c r="G103" s="261"/>
      <c r="H103" s="261"/>
      <c r="I103" s="481" t="s">
        <v>17</v>
      </c>
      <c r="J103" s="481"/>
      <c r="K103" s="481"/>
      <c r="L103" s="220">
        <v>69000</v>
      </c>
      <c r="M103" s="331"/>
      <c r="N103" s="331"/>
      <c r="O103" s="343"/>
      <c r="P103" s="331"/>
      <c r="Q103" s="331"/>
      <c r="R103" s="331"/>
      <c r="S103" s="344"/>
      <c r="T103" s="331"/>
    </row>
    <row r="104" spans="1:23" s="41" customFormat="1" ht="13.8" x14ac:dyDescent="0.25">
      <c r="A104" s="43"/>
      <c r="B104" s="55" t="s">
        <v>32</v>
      </c>
      <c r="C104" s="285" t="s">
        <v>325</v>
      </c>
      <c r="D104" s="482"/>
      <c r="E104" s="482"/>
      <c r="F104" s="482"/>
      <c r="G104" s="261"/>
      <c r="H104" s="261"/>
      <c r="I104" s="481" t="s">
        <v>10</v>
      </c>
      <c r="J104" s="481"/>
      <c r="K104" s="481"/>
      <c r="L104" s="286">
        <v>-100000</v>
      </c>
      <c r="M104" s="331"/>
      <c r="N104" s="331"/>
      <c r="O104" s="343"/>
      <c r="P104" s="331"/>
      <c r="Q104" s="331"/>
      <c r="R104" s="331"/>
      <c r="S104" s="344"/>
      <c r="T104" s="331"/>
    </row>
    <row r="105" spans="1:23" s="41" customFormat="1" ht="13.8" x14ac:dyDescent="0.25">
      <c r="A105" s="43"/>
      <c r="B105" s="55" t="s">
        <v>33</v>
      </c>
      <c r="C105" s="285" t="s">
        <v>326</v>
      </c>
      <c r="D105" s="482"/>
      <c r="E105" s="482"/>
      <c r="F105" s="482"/>
      <c r="G105" s="261"/>
      <c r="H105" s="261"/>
      <c r="I105" s="494" t="s">
        <v>19</v>
      </c>
      <c r="J105" s="481"/>
      <c r="K105" s="481"/>
      <c r="L105" s="286">
        <v>-100000</v>
      </c>
      <c r="M105" s="331"/>
      <c r="N105" s="331"/>
      <c r="O105" s="343"/>
      <c r="P105" s="331"/>
      <c r="Q105" s="331"/>
      <c r="R105" s="331"/>
      <c r="S105" s="344"/>
      <c r="T105" s="331"/>
    </row>
    <row r="106" spans="1:23" s="41" customFormat="1" ht="13.8" x14ac:dyDescent="0.25">
      <c r="A106" s="43"/>
      <c r="B106" s="55" t="s">
        <v>181</v>
      </c>
      <c r="C106" s="285" t="s">
        <v>327</v>
      </c>
      <c r="D106" s="482"/>
      <c r="E106" s="482"/>
      <c r="F106" s="482"/>
      <c r="G106" s="261"/>
      <c r="H106" s="261"/>
      <c r="I106" s="494" t="s">
        <v>19</v>
      </c>
      <c r="J106" s="481"/>
      <c r="K106" s="481"/>
      <c r="L106" s="286">
        <v>-130000</v>
      </c>
      <c r="M106" s="331"/>
      <c r="N106" s="331"/>
      <c r="O106" s="343"/>
      <c r="P106" s="331"/>
      <c r="Q106" s="331"/>
      <c r="R106" s="331"/>
      <c r="S106" s="344"/>
      <c r="T106" s="331"/>
    </row>
    <row r="107" spans="1:23" s="41" customFormat="1" ht="13.8" x14ac:dyDescent="0.25">
      <c r="A107" s="43"/>
      <c r="B107" s="55" t="s">
        <v>182</v>
      </c>
      <c r="C107" s="285" t="s">
        <v>328</v>
      </c>
      <c r="D107" s="482"/>
      <c r="E107" s="482"/>
      <c r="F107" s="482"/>
      <c r="G107" s="261"/>
      <c r="H107" s="261"/>
      <c r="I107" s="494" t="s">
        <v>19</v>
      </c>
      <c r="J107" s="481"/>
      <c r="K107" s="481"/>
      <c r="L107" s="220">
        <v>-190000</v>
      </c>
      <c r="M107" s="331"/>
      <c r="N107" s="331"/>
      <c r="O107" s="343"/>
      <c r="P107" s="331"/>
      <c r="Q107" s="331"/>
      <c r="R107" s="331"/>
      <c r="S107" s="344"/>
      <c r="T107" s="331"/>
    </row>
    <row r="108" spans="1:23" s="41" customFormat="1" ht="13.8" x14ac:dyDescent="0.25">
      <c r="A108" s="43"/>
      <c r="B108" s="55" t="s">
        <v>183</v>
      </c>
      <c r="C108" s="285" t="s">
        <v>329</v>
      </c>
      <c r="D108" s="482"/>
      <c r="E108" s="482"/>
      <c r="F108" s="482"/>
      <c r="G108" s="261"/>
      <c r="H108" s="261"/>
      <c r="I108" s="494" t="s">
        <v>10</v>
      </c>
      <c r="J108" s="481"/>
      <c r="K108" s="481"/>
      <c r="L108" s="506">
        <v>-250000</v>
      </c>
      <c r="M108" s="331"/>
      <c r="N108" s="331"/>
      <c r="O108" s="343"/>
      <c r="P108" s="331"/>
      <c r="Q108" s="331"/>
      <c r="R108" s="331"/>
      <c r="S108" s="344"/>
      <c r="T108" s="331"/>
    </row>
    <row r="109" spans="1:23" s="41" customFormat="1" ht="13.8" x14ac:dyDescent="0.25">
      <c r="A109" s="43"/>
      <c r="B109" s="55"/>
      <c r="C109" s="285" t="s">
        <v>386</v>
      </c>
      <c r="D109" s="504"/>
      <c r="E109" s="504"/>
      <c r="F109" s="504"/>
      <c r="G109" s="261"/>
      <c r="H109" s="261"/>
      <c r="I109" s="503"/>
      <c r="J109" s="503"/>
      <c r="K109" s="503"/>
      <c r="L109" s="219">
        <f>SUM(L101:L108)</f>
        <v>354000</v>
      </c>
      <c r="M109" s="331"/>
      <c r="N109" s="331"/>
      <c r="O109" s="343"/>
      <c r="P109" s="331"/>
      <c r="Q109" s="331"/>
      <c r="R109" s="331"/>
      <c r="S109" s="344"/>
      <c r="T109" s="331"/>
    </row>
    <row r="110" spans="1:23" s="41" customFormat="1" ht="13.8" x14ac:dyDescent="0.25">
      <c r="A110" s="43"/>
      <c r="B110" s="376" t="s">
        <v>384</v>
      </c>
      <c r="C110" s="285"/>
      <c r="D110" s="504"/>
      <c r="E110" s="504"/>
      <c r="F110" s="504"/>
      <c r="G110" s="261"/>
      <c r="H110" s="261"/>
      <c r="I110" s="503"/>
      <c r="J110" s="503"/>
      <c r="K110" s="503"/>
      <c r="L110" s="220"/>
      <c r="M110" s="331"/>
      <c r="N110" s="331"/>
      <c r="O110" s="343"/>
      <c r="P110" s="331"/>
      <c r="Q110" s="331"/>
      <c r="R110" s="331"/>
      <c r="S110" s="344"/>
      <c r="T110" s="331"/>
    </row>
    <row r="111" spans="1:23" s="41" customFormat="1" ht="13.8" x14ac:dyDescent="0.25">
      <c r="A111" s="43"/>
      <c r="B111" s="55" t="s">
        <v>225</v>
      </c>
      <c r="C111" s="285" t="s">
        <v>387</v>
      </c>
      <c r="D111" s="482"/>
      <c r="E111" s="482"/>
      <c r="F111" s="482"/>
      <c r="G111" s="261"/>
      <c r="H111" s="261"/>
      <c r="I111" s="481" t="s">
        <v>24</v>
      </c>
      <c r="J111" s="481"/>
      <c r="K111" s="481"/>
      <c r="L111" s="219">
        <v>22000</v>
      </c>
      <c r="M111" s="331"/>
      <c r="N111" s="331"/>
      <c r="O111" s="343"/>
      <c r="P111" s="331"/>
      <c r="Q111" s="331"/>
      <c r="R111" s="331"/>
      <c r="S111" s="344"/>
      <c r="T111" s="331"/>
    </row>
    <row r="112" spans="1:23" s="41" customFormat="1" ht="13.8" x14ac:dyDescent="0.25">
      <c r="A112" s="43"/>
      <c r="B112" s="55" t="s">
        <v>248</v>
      </c>
      <c r="C112" s="285" t="s">
        <v>371</v>
      </c>
      <c r="D112" s="504"/>
      <c r="E112" s="504"/>
      <c r="F112" s="504"/>
      <c r="G112" s="261"/>
      <c r="H112" s="261"/>
      <c r="I112" s="503" t="s">
        <v>24</v>
      </c>
      <c r="J112" s="503"/>
      <c r="K112" s="503"/>
      <c r="L112" s="220">
        <v>-230000</v>
      </c>
      <c r="M112" s="331"/>
      <c r="N112" s="331"/>
      <c r="O112" s="343"/>
      <c r="P112" s="331"/>
      <c r="Q112" s="331"/>
      <c r="R112" s="331"/>
      <c r="S112" s="344"/>
      <c r="T112" s="331"/>
    </row>
    <row r="113" spans="1:23" s="41" customFormat="1" ht="13.8" x14ac:dyDescent="0.25">
      <c r="A113" s="43"/>
      <c r="B113" s="55" t="s">
        <v>249</v>
      </c>
      <c r="C113" s="285" t="s">
        <v>389</v>
      </c>
      <c r="D113" s="504"/>
      <c r="E113" s="504"/>
      <c r="F113" s="504"/>
      <c r="G113" s="261"/>
      <c r="H113" s="261"/>
      <c r="I113" s="503" t="s">
        <v>24</v>
      </c>
      <c r="J113" s="503"/>
      <c r="K113" s="503"/>
      <c r="L113" s="220">
        <v>-286000</v>
      </c>
      <c r="M113" s="331"/>
      <c r="N113" s="331"/>
      <c r="O113" s="343"/>
      <c r="P113" s="331"/>
      <c r="Q113" s="331"/>
      <c r="R113" s="331"/>
      <c r="S113" s="344"/>
      <c r="T113" s="331"/>
    </row>
    <row r="114" spans="1:23" s="41" customFormat="1" ht="13.8" x14ac:dyDescent="0.25">
      <c r="A114" s="43"/>
      <c r="B114" s="55" t="s">
        <v>285</v>
      </c>
      <c r="C114" s="285" t="s">
        <v>388</v>
      </c>
      <c r="D114" s="482"/>
      <c r="E114" s="482"/>
      <c r="F114" s="482"/>
      <c r="G114" s="261"/>
      <c r="H114" s="261"/>
      <c r="I114" s="499" t="s">
        <v>24</v>
      </c>
      <c r="J114" s="481"/>
      <c r="K114" s="481"/>
      <c r="L114" s="506">
        <v>-735000</v>
      </c>
      <c r="M114" s="331"/>
      <c r="N114" s="331"/>
      <c r="O114" s="343"/>
      <c r="P114" s="331"/>
      <c r="Q114" s="331"/>
      <c r="R114" s="331"/>
      <c r="S114" s="344"/>
      <c r="T114" s="331"/>
    </row>
    <row r="115" spans="1:23" s="41" customFormat="1" ht="13.8" x14ac:dyDescent="0.25">
      <c r="A115" s="43"/>
      <c r="B115" s="55"/>
      <c r="C115" s="285" t="s">
        <v>390</v>
      </c>
      <c r="D115" s="504"/>
      <c r="E115" s="504"/>
      <c r="F115" s="504"/>
      <c r="G115" s="261"/>
      <c r="H115" s="261"/>
      <c r="I115" s="503"/>
      <c r="J115" s="503"/>
      <c r="K115" s="503"/>
      <c r="L115" s="219">
        <f>SUM(L111:L114)</f>
        <v>-1229000</v>
      </c>
      <c r="M115" s="331"/>
      <c r="N115" s="331"/>
      <c r="O115" s="343"/>
      <c r="P115" s="331"/>
      <c r="Q115" s="331"/>
      <c r="R115" s="331"/>
      <c r="S115" s="344"/>
      <c r="T115" s="331"/>
    </row>
    <row r="116" spans="1:23" s="41" customFormat="1" ht="13.8" x14ac:dyDescent="0.25">
      <c r="A116" s="43"/>
      <c r="B116" s="55"/>
      <c r="C116" s="285"/>
      <c r="D116" s="504"/>
      <c r="E116" s="504"/>
      <c r="F116" s="504"/>
      <c r="G116" s="261"/>
      <c r="H116" s="261"/>
      <c r="I116" s="503"/>
      <c r="J116" s="503"/>
      <c r="K116" s="503"/>
      <c r="L116" s="220"/>
      <c r="M116" s="331"/>
      <c r="N116" s="331"/>
      <c r="O116" s="343"/>
      <c r="P116" s="331"/>
      <c r="Q116" s="331"/>
      <c r="R116" s="331"/>
      <c r="S116" s="344"/>
      <c r="T116" s="331"/>
    </row>
    <row r="117" spans="1:23" s="62" customFormat="1" ht="14.4" thickBot="1" x14ac:dyDescent="0.3">
      <c r="A117" s="60"/>
      <c r="B117" s="61" t="s">
        <v>184</v>
      </c>
      <c r="E117" s="52"/>
      <c r="F117" s="52"/>
      <c r="G117" s="63"/>
      <c r="H117" s="51"/>
      <c r="I117" s="63"/>
      <c r="J117" s="42"/>
      <c r="L117" s="64">
        <f>+L115+L109</f>
        <v>-875000</v>
      </c>
      <c r="M117" s="331"/>
      <c r="N117" s="331"/>
      <c r="O117" s="343"/>
      <c r="P117" s="331"/>
      <c r="Q117" s="331"/>
      <c r="R117" s="331"/>
      <c r="S117" s="344"/>
      <c r="T117" s="63"/>
    </row>
    <row r="118" spans="1:23" s="41" customFormat="1" ht="8.25" customHeight="1" thickTop="1" x14ac:dyDescent="0.25">
      <c r="A118" s="65"/>
      <c r="B118" s="66"/>
      <c r="C118" s="66"/>
      <c r="D118" s="66"/>
      <c r="E118" s="66"/>
      <c r="F118" s="66"/>
      <c r="G118" s="66"/>
      <c r="H118" s="66"/>
      <c r="I118" s="66"/>
      <c r="J118" s="67"/>
      <c r="K118" s="67"/>
      <c r="L118" s="47"/>
      <c r="M118" s="47"/>
      <c r="O118" s="43"/>
      <c r="W118" s="40"/>
    </row>
    <row r="119" spans="1:23" s="41" customFormat="1" ht="13.8" x14ac:dyDescent="0.25">
      <c r="A119" s="43"/>
      <c r="B119" s="6" t="s">
        <v>34</v>
      </c>
      <c r="C119" s="70"/>
      <c r="D119" s="70"/>
      <c r="E119" s="70"/>
      <c r="F119" s="70"/>
      <c r="G119" s="70"/>
      <c r="H119" s="70"/>
      <c r="I119" s="70"/>
      <c r="J119" s="89"/>
      <c r="K119" s="89"/>
      <c r="O119" s="43"/>
      <c r="W119" s="40"/>
    </row>
    <row r="120" spans="1:23" s="41" customFormat="1" ht="15" customHeight="1" x14ac:dyDescent="0.25">
      <c r="A120" s="43"/>
      <c r="B120" s="579"/>
      <c r="C120" s="579"/>
      <c r="D120" s="579"/>
      <c r="E120" s="579"/>
      <c r="F120" s="579"/>
      <c r="G120" s="579"/>
      <c r="H120" s="579"/>
      <c r="I120" s="579"/>
      <c r="J120" s="579"/>
      <c r="K120" s="579"/>
      <c r="L120" s="579"/>
      <c r="O120" s="43"/>
      <c r="W120" s="40"/>
    </row>
    <row r="121" spans="1:23" s="41" customFormat="1" ht="15" customHeight="1" x14ac:dyDescent="0.25">
      <c r="A121" s="43"/>
      <c r="B121" s="579"/>
      <c r="C121" s="579"/>
      <c r="D121" s="579"/>
      <c r="E121" s="579"/>
      <c r="F121" s="579"/>
      <c r="G121" s="579"/>
      <c r="H121" s="579"/>
      <c r="I121" s="579"/>
      <c r="J121" s="579"/>
      <c r="K121" s="579"/>
      <c r="L121" s="579"/>
      <c r="O121" s="43"/>
      <c r="W121" s="40"/>
    </row>
    <row r="122" spans="1:23" s="41" customFormat="1" ht="15" customHeight="1" x14ac:dyDescent="0.25">
      <c r="A122" s="43"/>
      <c r="B122" s="579"/>
      <c r="C122" s="579"/>
      <c r="D122" s="579"/>
      <c r="E122" s="579"/>
      <c r="F122" s="579"/>
      <c r="G122" s="579"/>
      <c r="H122" s="579"/>
      <c r="I122" s="579"/>
      <c r="J122" s="579"/>
      <c r="K122" s="579"/>
      <c r="L122" s="579"/>
      <c r="O122" s="43"/>
      <c r="W122" s="40"/>
    </row>
    <row r="123" spans="1:23" s="41" customFormat="1" ht="15" customHeight="1" x14ac:dyDescent="0.25">
      <c r="A123" s="43"/>
      <c r="B123" s="579"/>
      <c r="C123" s="579"/>
      <c r="D123" s="579"/>
      <c r="E123" s="579"/>
      <c r="F123" s="579"/>
      <c r="G123" s="579"/>
      <c r="H123" s="579"/>
      <c r="I123" s="579"/>
      <c r="J123" s="579"/>
      <c r="K123" s="579"/>
      <c r="L123" s="579"/>
      <c r="O123" s="43"/>
      <c r="W123" s="40"/>
    </row>
    <row r="124" spans="1:23" s="41" customFormat="1" ht="15" customHeight="1" x14ac:dyDescent="0.25">
      <c r="A124" s="43"/>
      <c r="B124" s="579"/>
      <c r="C124" s="579"/>
      <c r="D124" s="579"/>
      <c r="E124" s="579"/>
      <c r="F124" s="579"/>
      <c r="G124" s="579"/>
      <c r="H124" s="579"/>
      <c r="I124" s="579"/>
      <c r="J124" s="579"/>
      <c r="K124" s="579"/>
      <c r="L124" s="579"/>
      <c r="O124" s="43"/>
      <c r="W124" s="40"/>
    </row>
    <row r="125" spans="1:23" s="41" customFormat="1" ht="15" customHeight="1" thickBot="1" x14ac:dyDescent="0.3">
      <c r="A125" s="77"/>
      <c r="B125" s="577"/>
      <c r="C125" s="577"/>
      <c r="D125" s="577"/>
      <c r="E125" s="577"/>
      <c r="F125" s="577"/>
      <c r="G125" s="577"/>
      <c r="H125" s="577"/>
      <c r="I125" s="577"/>
      <c r="J125" s="577"/>
      <c r="K125" s="577"/>
      <c r="L125" s="577"/>
      <c r="M125" s="380"/>
      <c r="O125" s="43"/>
      <c r="W125" s="40"/>
    </row>
    <row r="126" spans="1:23" s="41" customFormat="1" ht="15" customHeight="1" x14ac:dyDescent="0.25">
      <c r="A126" s="43"/>
      <c r="B126" s="417"/>
      <c r="C126" s="417"/>
      <c r="D126" s="417"/>
      <c r="E126" s="417"/>
      <c r="F126" s="417"/>
      <c r="G126" s="417"/>
      <c r="H126" s="417"/>
      <c r="I126" s="417"/>
      <c r="J126" s="417"/>
      <c r="K126" s="417"/>
      <c r="L126" s="417"/>
      <c r="O126" s="43"/>
      <c r="W126" s="40"/>
    </row>
    <row r="127" spans="1:23" ht="13.8" x14ac:dyDescent="0.25">
      <c r="L127" s="41"/>
      <c r="M127" s="41"/>
      <c r="N127" s="41"/>
      <c r="O127" s="43"/>
      <c r="P127" s="41"/>
      <c r="Q127" s="41"/>
      <c r="R127" s="41"/>
      <c r="S127" s="40"/>
    </row>
    <row r="128" spans="1:23" ht="13.8" x14ac:dyDescent="0.25">
      <c r="L128" s="41"/>
      <c r="M128" s="41"/>
      <c r="N128" s="41"/>
      <c r="O128" s="43"/>
      <c r="P128" s="41"/>
      <c r="Q128" s="41"/>
      <c r="R128" s="41"/>
      <c r="S128" s="40"/>
    </row>
    <row r="129" spans="15:19" ht="13.8" x14ac:dyDescent="0.25">
      <c r="O129" s="41"/>
      <c r="P129" s="41"/>
      <c r="Q129" s="41"/>
      <c r="R129" s="41"/>
      <c r="S129" s="40"/>
    </row>
    <row r="130" spans="15:19" ht="13.8" x14ac:dyDescent="0.25">
      <c r="O130" s="41"/>
      <c r="P130" s="41"/>
      <c r="Q130" s="41"/>
      <c r="R130" s="41"/>
      <c r="S130" s="40"/>
    </row>
    <row r="131" spans="15:19" ht="13.8" x14ac:dyDescent="0.25">
      <c r="O131" s="41"/>
      <c r="P131" s="41"/>
      <c r="Q131" s="41"/>
      <c r="R131" s="41"/>
      <c r="S131" s="40"/>
    </row>
    <row r="132" spans="15:19" ht="15.6" x14ac:dyDescent="0.3">
      <c r="O132" s="71"/>
      <c r="P132" s="71"/>
      <c r="Q132" s="71"/>
      <c r="R132" s="71"/>
      <c r="S132" s="72"/>
    </row>
    <row r="133" spans="15:19" ht="15.6" x14ac:dyDescent="0.3">
      <c r="O133" s="71"/>
      <c r="P133" s="71"/>
      <c r="Q133" s="71"/>
      <c r="R133" s="71"/>
      <c r="S133" s="72"/>
    </row>
    <row r="134" spans="15:19" ht="15.6" x14ac:dyDescent="0.3">
      <c r="O134" s="71"/>
      <c r="P134" s="71"/>
      <c r="Q134" s="71"/>
      <c r="R134" s="71"/>
      <c r="S134" s="72"/>
    </row>
    <row r="135" spans="15:19" ht="15.6" x14ac:dyDescent="0.3">
      <c r="O135" s="71"/>
      <c r="P135" s="71"/>
      <c r="Q135" s="71"/>
      <c r="R135" s="71"/>
      <c r="S135" s="72"/>
    </row>
  </sheetData>
  <mergeCells count="2">
    <mergeCell ref="B120:L125"/>
    <mergeCell ref="B23:L95"/>
  </mergeCells>
  <dataValidations count="3">
    <dataValidation type="list" allowBlank="1" showInputMessage="1" showErrorMessage="1" sqref="G101:G116">
      <formula1>$O$17:$O$19</formula1>
    </dataValidation>
    <dataValidation type="list" allowBlank="1" showInputMessage="1" showErrorMessage="1" sqref="I101:K116">
      <formula1>$O$3:$O$21</formula1>
    </dataValidation>
    <dataValidation allowBlank="1" showErrorMessage="1" promptTitle="Do not change" sqref="B99"/>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9"/>
  <sheetViews>
    <sheetView view="pageBreakPreview" topLeftCell="A10"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160</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ht="15.6" x14ac:dyDescent="0.25">
      <c r="B4" s="82"/>
      <c r="C4" s="38"/>
      <c r="D4" s="13"/>
      <c r="E4" s="14" t="s">
        <v>35</v>
      </c>
      <c r="F4" s="14" t="s">
        <v>35</v>
      </c>
      <c r="G4" s="14" t="s">
        <v>211</v>
      </c>
      <c r="I4" s="85"/>
      <c r="J4" s="14" t="s">
        <v>41</v>
      </c>
      <c r="K4" s="14" t="s">
        <v>41</v>
      </c>
      <c r="L4" s="14" t="s">
        <v>41</v>
      </c>
      <c r="O4" s="7" t="s">
        <v>3</v>
      </c>
      <c r="P4" s="3"/>
      <c r="Q4" s="3"/>
      <c r="R4" s="3"/>
      <c r="S4" s="10">
        <f t="shared" si="0"/>
        <v>0</v>
      </c>
    </row>
    <row r="5" spans="1:19" x14ac:dyDescent="0.25">
      <c r="B5" s="16" t="s">
        <v>36</v>
      </c>
      <c r="C5" s="17"/>
      <c r="D5" s="12"/>
      <c r="E5" s="18">
        <v>12763917</v>
      </c>
      <c r="F5" s="18">
        <v>13632010</v>
      </c>
      <c r="G5" s="18">
        <v>8376364.0999999996</v>
      </c>
      <c r="I5" s="86" t="s">
        <v>38</v>
      </c>
      <c r="J5" s="73"/>
      <c r="K5" s="73"/>
      <c r="L5" s="73">
        <v>0</v>
      </c>
      <c r="O5" s="15" t="s">
        <v>4</v>
      </c>
      <c r="S5" s="10">
        <f t="shared" si="0"/>
        <v>0</v>
      </c>
    </row>
    <row r="6" spans="1:19" x14ac:dyDescent="0.25">
      <c r="B6" s="16" t="s">
        <v>7</v>
      </c>
      <c r="C6" s="17"/>
      <c r="D6" s="12"/>
      <c r="E6" s="18">
        <v>3188106</v>
      </c>
      <c r="F6" s="18">
        <v>3443477</v>
      </c>
      <c r="G6" s="18">
        <f>8376364-3625593</f>
        <v>4750771</v>
      </c>
      <c r="I6" s="87" t="s">
        <v>39</v>
      </c>
      <c r="J6" s="18">
        <v>372000</v>
      </c>
      <c r="K6" s="18">
        <v>-206500</v>
      </c>
      <c r="L6" s="18">
        <v>35000</v>
      </c>
      <c r="O6" s="15" t="s">
        <v>6</v>
      </c>
      <c r="S6" s="10">
        <f t="shared" si="0"/>
        <v>0</v>
      </c>
    </row>
    <row r="7" spans="1:19" x14ac:dyDescent="0.25">
      <c r="B7" s="21" t="s">
        <v>9</v>
      </c>
      <c r="C7" s="22"/>
      <c r="D7" s="23"/>
      <c r="E7" s="24">
        <v>2763232</v>
      </c>
      <c r="F7" s="24">
        <v>3645467</v>
      </c>
      <c r="G7" s="24">
        <f>G6-L6</f>
        <v>4715771</v>
      </c>
      <c r="I7" s="87" t="s">
        <v>40</v>
      </c>
      <c r="J7" s="18">
        <v>613000</v>
      </c>
      <c r="K7" s="18">
        <v>-168500</v>
      </c>
      <c r="L7" s="18">
        <f>+L41</f>
        <v>145000</v>
      </c>
      <c r="O7" s="15" t="s">
        <v>8</v>
      </c>
      <c r="P7" s="20"/>
      <c r="S7" s="10">
        <f t="shared" si="0"/>
        <v>0</v>
      </c>
    </row>
    <row r="8" spans="1:19" x14ac:dyDescent="0.25">
      <c r="B8" s="26" t="s">
        <v>11</v>
      </c>
      <c r="C8" s="27"/>
      <c r="D8" s="28"/>
      <c r="E8" s="29">
        <v>424874</v>
      </c>
      <c r="F8" s="29">
        <v>-201990</v>
      </c>
      <c r="G8" s="29">
        <f>G6-G7</f>
        <v>35000</v>
      </c>
      <c r="I8" s="88" t="s">
        <v>43</v>
      </c>
      <c r="J8" s="74">
        <f>E8</f>
        <v>424874</v>
      </c>
      <c r="K8" s="74">
        <f>F8</f>
        <v>-201990</v>
      </c>
      <c r="L8" s="74"/>
      <c r="O8" s="15" t="s">
        <v>10</v>
      </c>
      <c r="P8" s="25"/>
      <c r="S8" s="10">
        <f t="shared" si="0"/>
        <v>0</v>
      </c>
    </row>
    <row r="9" spans="1:19" x14ac:dyDescent="0.25">
      <c r="B9" s="32" t="s">
        <v>37</v>
      </c>
      <c r="C9" s="33"/>
      <c r="D9" s="23"/>
      <c r="E9" s="34">
        <f>IF(ISERROR(IF(E8=0,"",(E8/$E$5))),"",(IF(E8=0,"",(E8/$E$5))))</f>
        <v>3.328711711303043E-2</v>
      </c>
      <c r="F9" s="34">
        <f>IF(ISERROR(IF(F8=0,"",(F8/$F$5))),"",(IF(F8=0,"",(F8/$F$5))))</f>
        <v>-1.481733067977503E-2</v>
      </c>
      <c r="G9" s="34">
        <f>IF(ISERROR(IF(G8=0,"",(G8/$G$5))),"",(IF(G8=0,"",(G8/$G$5))))</f>
        <v>4.1784239059044727E-3</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145000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145000</v>
      </c>
    </row>
    <row r="23" spans="1:19" s="41" customFormat="1" ht="15" customHeight="1" x14ac:dyDescent="0.25">
      <c r="A23" s="39"/>
      <c r="B23" s="571" t="s">
        <v>391</v>
      </c>
      <c r="C23" s="571"/>
      <c r="D23" s="571"/>
      <c r="E23" s="571"/>
      <c r="F23" s="571"/>
      <c r="G23" s="571"/>
      <c r="H23" s="571"/>
      <c r="I23" s="571"/>
      <c r="J23" s="571"/>
      <c r="K23" s="571"/>
      <c r="L23" s="571"/>
      <c r="O23" s="15"/>
      <c r="P23" s="12"/>
      <c r="Q23" s="12"/>
      <c r="R23" s="12"/>
      <c r="S23" s="10"/>
    </row>
    <row r="24" spans="1:19" s="41" customFormat="1" ht="14.25" customHeight="1" x14ac:dyDescent="0.25">
      <c r="A24" s="39"/>
      <c r="B24" s="571"/>
      <c r="C24" s="571"/>
      <c r="D24" s="571"/>
      <c r="E24" s="571"/>
      <c r="F24" s="571"/>
      <c r="G24" s="571"/>
      <c r="H24" s="571"/>
      <c r="I24" s="571"/>
      <c r="J24" s="571"/>
      <c r="K24" s="571"/>
      <c r="L24" s="571"/>
      <c r="O24" s="15"/>
      <c r="P24" s="12"/>
      <c r="Q24" s="12"/>
      <c r="R24" s="12"/>
      <c r="S24" s="10"/>
    </row>
    <row r="25" spans="1:19" s="41" customFormat="1" ht="14.25" customHeight="1" x14ac:dyDescent="0.25">
      <c r="A25" s="39"/>
      <c r="B25" s="571"/>
      <c r="C25" s="571"/>
      <c r="D25" s="571"/>
      <c r="E25" s="571"/>
      <c r="F25" s="571"/>
      <c r="G25" s="571"/>
      <c r="H25" s="571"/>
      <c r="I25" s="571"/>
      <c r="J25" s="571"/>
      <c r="K25" s="571"/>
      <c r="L25" s="571"/>
      <c r="O25" s="15"/>
      <c r="P25" s="12"/>
      <c r="Q25" s="12"/>
      <c r="R25" s="12"/>
      <c r="S25" s="10"/>
    </row>
    <row r="26" spans="1:19" s="41" customFormat="1" ht="14.25" customHeight="1" x14ac:dyDescent="0.25">
      <c r="A26" s="39"/>
      <c r="B26" s="571"/>
      <c r="C26" s="571"/>
      <c r="D26" s="571"/>
      <c r="E26" s="571"/>
      <c r="F26" s="571"/>
      <c r="G26" s="571"/>
      <c r="H26" s="571"/>
      <c r="I26" s="571"/>
      <c r="J26" s="571"/>
      <c r="K26" s="571"/>
      <c r="L26" s="571"/>
      <c r="O26" s="15"/>
      <c r="P26" s="12"/>
      <c r="Q26" s="12"/>
      <c r="R26" s="12"/>
      <c r="S26" s="10"/>
    </row>
    <row r="27" spans="1:19" s="41" customFormat="1" ht="14.25" customHeight="1" x14ac:dyDescent="0.25">
      <c r="A27" s="39"/>
      <c r="B27" s="571"/>
      <c r="C27" s="571"/>
      <c r="D27" s="571"/>
      <c r="E27" s="571"/>
      <c r="F27" s="571"/>
      <c r="G27" s="571"/>
      <c r="H27" s="571"/>
      <c r="I27" s="571"/>
      <c r="J27" s="571"/>
      <c r="K27" s="571"/>
      <c r="L27" s="571"/>
      <c r="O27" s="15"/>
      <c r="P27" s="12"/>
      <c r="Q27" s="12"/>
      <c r="R27" s="12"/>
      <c r="S27" s="10"/>
    </row>
    <row r="28" spans="1:19" s="41" customFormat="1" ht="14.25" customHeight="1" x14ac:dyDescent="0.25">
      <c r="A28" s="39"/>
      <c r="B28" s="571"/>
      <c r="C28" s="571"/>
      <c r="D28" s="571"/>
      <c r="E28" s="571"/>
      <c r="F28" s="571"/>
      <c r="G28" s="571"/>
      <c r="H28" s="571"/>
      <c r="I28" s="571"/>
      <c r="J28" s="571"/>
      <c r="K28" s="571"/>
      <c r="L28" s="571"/>
      <c r="O28" s="15"/>
      <c r="P28" s="12"/>
      <c r="Q28" s="12"/>
      <c r="R28" s="12"/>
      <c r="S28" s="10"/>
    </row>
    <row r="29" spans="1:19" s="41" customFormat="1" ht="14.25" customHeight="1" x14ac:dyDescent="0.25">
      <c r="A29" s="39"/>
      <c r="B29" s="571"/>
      <c r="C29" s="571"/>
      <c r="D29" s="571"/>
      <c r="E29" s="571"/>
      <c r="F29" s="571"/>
      <c r="G29" s="571"/>
      <c r="H29" s="571"/>
      <c r="I29" s="571"/>
      <c r="J29" s="571"/>
      <c r="K29" s="571"/>
      <c r="L29" s="571"/>
      <c r="O29" s="15"/>
      <c r="P29" s="12"/>
      <c r="Q29" s="12"/>
      <c r="R29" s="12"/>
      <c r="S29" s="10"/>
    </row>
    <row r="30" spans="1:19" s="41" customFormat="1" ht="14.25" customHeight="1" x14ac:dyDescent="0.25">
      <c r="A30" s="39"/>
      <c r="B30" s="571"/>
      <c r="C30" s="571"/>
      <c r="D30" s="571"/>
      <c r="E30" s="571"/>
      <c r="F30" s="571"/>
      <c r="G30" s="571"/>
      <c r="H30" s="571"/>
      <c r="I30" s="571"/>
      <c r="J30" s="571"/>
      <c r="K30" s="571"/>
      <c r="L30" s="571"/>
      <c r="O30" s="15"/>
      <c r="P30" s="12"/>
      <c r="Q30" s="12"/>
      <c r="R30" s="12"/>
      <c r="S30" s="10"/>
    </row>
    <row r="31" spans="1:19" s="41" customFormat="1" ht="15.75" customHeight="1"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175"/>
      <c r="B32" s="571"/>
      <c r="C32" s="571"/>
      <c r="D32" s="571"/>
      <c r="E32" s="571"/>
      <c r="F32" s="571"/>
      <c r="G32" s="571"/>
      <c r="H32" s="571"/>
      <c r="I32" s="571"/>
      <c r="J32" s="571"/>
      <c r="K32" s="571"/>
      <c r="L32" s="571"/>
      <c r="O32" s="15"/>
      <c r="P32" s="12"/>
      <c r="Q32" s="12"/>
      <c r="R32" s="12"/>
      <c r="S32" s="10"/>
    </row>
    <row r="33" spans="1:23" s="41" customFormat="1" ht="5.25" customHeight="1" x14ac:dyDescent="0.25">
      <c r="A33" s="44"/>
      <c r="B33" s="44"/>
      <c r="C33" s="44"/>
      <c r="D33" s="44"/>
      <c r="E33" s="44"/>
      <c r="F33" s="44"/>
      <c r="G33" s="44"/>
      <c r="H33" s="45"/>
      <c r="I33" s="45"/>
      <c r="J33" s="46"/>
      <c r="K33" s="47"/>
      <c r="L33" s="47"/>
      <c r="M33" s="47"/>
      <c r="O33" s="15"/>
      <c r="P33" s="12"/>
      <c r="Q33" s="12"/>
      <c r="R33" s="12"/>
      <c r="S33" s="37"/>
    </row>
    <row r="34" spans="1:23" s="41" customFormat="1" ht="13.8" x14ac:dyDescent="0.25">
      <c r="A34" s="43"/>
      <c r="B34" s="48" t="s">
        <v>26</v>
      </c>
      <c r="D34" s="42"/>
      <c r="E34" s="42"/>
      <c r="F34" s="42"/>
      <c r="G34" s="42"/>
      <c r="H34" s="49"/>
      <c r="I34" s="50"/>
      <c r="J34" s="51"/>
      <c r="K34" s="51"/>
      <c r="O34" s="15"/>
      <c r="P34" s="12"/>
      <c r="Q34" s="12"/>
      <c r="R34" s="12"/>
      <c r="S34" s="37"/>
    </row>
    <row r="35" spans="1:23" s="41" customFormat="1" ht="13.8" x14ac:dyDescent="0.25">
      <c r="A35" s="43"/>
      <c r="B35" s="190"/>
      <c r="D35" s="42"/>
      <c r="E35" s="42"/>
      <c r="F35" s="42"/>
      <c r="G35" s="42"/>
      <c r="H35" s="53"/>
      <c r="I35" s="53" t="s">
        <v>27</v>
      </c>
      <c r="J35" s="42"/>
      <c r="L35" s="54" t="s">
        <v>28</v>
      </c>
      <c r="O35" s="15"/>
      <c r="P35" s="12"/>
      <c r="Q35" s="12"/>
      <c r="R35" s="12"/>
      <c r="S35" s="37"/>
    </row>
    <row r="36" spans="1:23" s="41" customFormat="1" ht="13.8" x14ac:dyDescent="0.25">
      <c r="A36" s="43"/>
      <c r="B36" s="55" t="s">
        <v>29</v>
      </c>
      <c r="C36" s="260" t="s">
        <v>212</v>
      </c>
      <c r="D36" s="253"/>
      <c r="E36" s="253"/>
      <c r="F36" s="253"/>
      <c r="G36" s="261"/>
      <c r="H36" s="261"/>
      <c r="I36" s="575" t="s">
        <v>19</v>
      </c>
      <c r="J36" s="575"/>
      <c r="K36" s="575"/>
      <c r="L36" s="219">
        <f>80000+65000</f>
        <v>145000</v>
      </c>
      <c r="M36" s="331" t="s">
        <v>193</v>
      </c>
      <c r="N36" s="331"/>
      <c r="O36" s="15"/>
      <c r="P36" s="12"/>
      <c r="Q36" s="12"/>
      <c r="R36" s="12"/>
      <c r="S36" s="37"/>
    </row>
    <row r="37" spans="1:23" s="41" customFormat="1" ht="13.8" hidden="1" x14ac:dyDescent="0.25">
      <c r="A37" s="43"/>
      <c r="B37" s="55" t="s">
        <v>186</v>
      </c>
      <c r="C37" s="260"/>
      <c r="D37" s="253"/>
      <c r="E37" s="253"/>
      <c r="F37" s="253"/>
      <c r="G37" s="261"/>
      <c r="H37" s="261"/>
      <c r="I37" s="266"/>
      <c r="J37" s="266"/>
      <c r="K37" s="266"/>
      <c r="L37" s="220"/>
      <c r="M37" s="331"/>
      <c r="N37" s="331"/>
      <c r="O37" s="15"/>
      <c r="P37" s="12"/>
      <c r="Q37" s="12"/>
      <c r="R37" s="12"/>
      <c r="S37" s="37"/>
    </row>
    <row r="38" spans="1:23" s="41" customFormat="1" ht="13.8" hidden="1" x14ac:dyDescent="0.25">
      <c r="A38" s="43"/>
      <c r="B38" s="55" t="s">
        <v>31</v>
      </c>
      <c r="C38" s="260"/>
      <c r="D38" s="253"/>
      <c r="E38" s="253"/>
      <c r="F38" s="253"/>
      <c r="G38" s="261"/>
      <c r="H38" s="261"/>
      <c r="I38" s="266"/>
      <c r="J38" s="266"/>
      <c r="K38" s="266"/>
      <c r="L38" s="220"/>
      <c r="O38" s="15"/>
      <c r="P38" s="12"/>
      <c r="Q38" s="12"/>
      <c r="R38" s="12"/>
      <c r="S38" s="37"/>
    </row>
    <row r="39" spans="1:23" s="41" customFormat="1" ht="13.8" hidden="1" x14ac:dyDescent="0.25">
      <c r="A39" s="43"/>
      <c r="B39" s="55" t="s">
        <v>32</v>
      </c>
      <c r="C39" s="260"/>
      <c r="D39" s="253"/>
      <c r="E39" s="253"/>
      <c r="F39" s="253"/>
      <c r="G39" s="261"/>
      <c r="H39" s="261"/>
      <c r="I39" s="266"/>
      <c r="J39" s="266"/>
      <c r="K39" s="266"/>
      <c r="L39" s="220"/>
      <c r="O39" s="15"/>
      <c r="P39" s="12"/>
      <c r="Q39" s="12"/>
      <c r="R39" s="12"/>
      <c r="S39" s="37"/>
    </row>
    <row r="40" spans="1:23" s="41" customFormat="1" ht="13.8" hidden="1" x14ac:dyDescent="0.25">
      <c r="A40" s="43"/>
      <c r="B40" s="55" t="s">
        <v>33</v>
      </c>
      <c r="C40" s="260"/>
      <c r="D40" s="253"/>
      <c r="E40" s="253"/>
      <c r="F40" s="253"/>
      <c r="G40" s="261"/>
      <c r="H40" s="261"/>
      <c r="I40" s="266"/>
      <c r="J40" s="266"/>
      <c r="K40" s="266"/>
      <c r="L40" s="220"/>
      <c r="O40" s="15"/>
      <c r="P40" s="12"/>
      <c r="Q40" s="12"/>
      <c r="R40" s="12"/>
      <c r="S40" s="37"/>
    </row>
    <row r="41" spans="1:23" s="41" customFormat="1" ht="14.4" thickBot="1" x14ac:dyDescent="0.3">
      <c r="A41" s="60"/>
      <c r="B41" s="61" t="s">
        <v>185</v>
      </c>
      <c r="C41" s="62"/>
      <c r="D41" s="62"/>
      <c r="E41" s="52"/>
      <c r="F41" s="52"/>
      <c r="G41" s="63"/>
      <c r="H41" s="51"/>
      <c r="I41" s="63"/>
      <c r="J41" s="42"/>
      <c r="K41" s="62"/>
      <c r="L41" s="64">
        <f>+SUM(L36:L39)</f>
        <v>145000</v>
      </c>
      <c r="M41" s="176"/>
      <c r="O41" s="43"/>
      <c r="W41" s="40"/>
    </row>
    <row r="42" spans="1:23" s="62" customFormat="1" ht="8.25" customHeight="1" thickTop="1" x14ac:dyDescent="0.25">
      <c r="A42" s="65"/>
      <c r="B42" s="187"/>
      <c r="C42" s="187"/>
      <c r="D42" s="187"/>
      <c r="E42" s="187"/>
      <c r="F42" s="187"/>
      <c r="G42" s="187"/>
      <c r="H42" s="187"/>
      <c r="I42" s="187"/>
      <c r="J42" s="67"/>
      <c r="K42" s="67"/>
      <c r="L42" s="47"/>
      <c r="M42" s="47"/>
      <c r="O42" s="60"/>
      <c r="W42" s="59"/>
    </row>
    <row r="43" spans="1:23" s="62" customFormat="1" ht="8.25" customHeight="1" x14ac:dyDescent="0.25">
      <c r="A43" s="60"/>
      <c r="B43" s="186"/>
      <c r="C43" s="186"/>
      <c r="D43" s="186"/>
      <c r="E43" s="186"/>
      <c r="F43" s="186"/>
      <c r="G43" s="186"/>
      <c r="H43" s="186"/>
      <c r="I43" s="186"/>
      <c r="J43" s="179"/>
      <c r="K43" s="179"/>
      <c r="L43" s="176"/>
      <c r="M43" s="176"/>
      <c r="O43" s="60"/>
      <c r="W43" s="59"/>
    </row>
    <row r="44" spans="1:23" s="41" customFormat="1" ht="13.8" x14ac:dyDescent="0.25">
      <c r="A44" s="43"/>
      <c r="B44" s="6" t="s">
        <v>34</v>
      </c>
      <c r="C44" s="70"/>
      <c r="D44" s="70"/>
      <c r="E44" s="70"/>
      <c r="F44" s="70"/>
      <c r="G44" s="70"/>
      <c r="H44" s="70"/>
      <c r="I44" s="70"/>
      <c r="J44" s="89"/>
      <c r="K44" s="89"/>
      <c r="O44" s="43"/>
      <c r="W44" s="40"/>
    </row>
    <row r="45" spans="1:23" s="41" customFormat="1" ht="15" customHeight="1" x14ac:dyDescent="0.25">
      <c r="A45" s="43"/>
      <c r="B45" s="572"/>
      <c r="C45" s="572"/>
      <c r="D45" s="572"/>
      <c r="E45" s="572"/>
      <c r="F45" s="572"/>
      <c r="G45" s="572"/>
      <c r="H45" s="572"/>
      <c r="I45" s="572"/>
      <c r="J45" s="572"/>
      <c r="K45" s="572"/>
      <c r="L45" s="572"/>
      <c r="O45" s="43"/>
      <c r="W45" s="40"/>
    </row>
    <row r="46" spans="1:23" s="41" customFormat="1" ht="15" customHeight="1" x14ac:dyDescent="0.25">
      <c r="A46" s="43"/>
      <c r="B46" s="572"/>
      <c r="C46" s="572"/>
      <c r="D46" s="572"/>
      <c r="E46" s="572"/>
      <c r="F46" s="572"/>
      <c r="G46" s="572"/>
      <c r="H46" s="572"/>
      <c r="I46" s="572"/>
      <c r="J46" s="572"/>
      <c r="K46" s="572"/>
      <c r="L46" s="572"/>
      <c r="O46" s="43"/>
      <c r="W46" s="40"/>
    </row>
    <row r="47" spans="1:23" ht="13.8" x14ac:dyDescent="0.25">
      <c r="B47" s="572"/>
      <c r="C47" s="572"/>
      <c r="D47" s="572"/>
      <c r="E47" s="572"/>
      <c r="F47" s="572"/>
      <c r="G47" s="572"/>
      <c r="H47" s="572"/>
      <c r="I47" s="572"/>
      <c r="J47" s="572"/>
      <c r="K47" s="572"/>
      <c r="L47" s="572"/>
      <c r="M47" s="41"/>
      <c r="N47" s="41"/>
      <c r="O47" s="43"/>
      <c r="P47" s="41"/>
      <c r="Q47" s="41"/>
      <c r="R47" s="41"/>
      <c r="S47" s="40"/>
    </row>
    <row r="48" spans="1:23" s="41" customFormat="1" ht="8.25" customHeight="1" thickBot="1" x14ac:dyDescent="0.3">
      <c r="A48" s="77"/>
      <c r="B48" s="78"/>
      <c r="C48" s="78"/>
      <c r="D48" s="78"/>
      <c r="E48" s="78"/>
      <c r="F48" s="78"/>
      <c r="G48" s="78"/>
      <c r="H48" s="78"/>
      <c r="I48" s="78"/>
      <c r="J48" s="79"/>
      <c r="K48" s="79"/>
      <c r="L48" s="80"/>
      <c r="M48" s="80"/>
      <c r="O48" s="43"/>
      <c r="W48" s="40"/>
    </row>
    <row r="49" spans="15:19" ht="13.8" x14ac:dyDescent="0.25">
      <c r="O49" s="41"/>
      <c r="P49" s="41"/>
      <c r="Q49" s="41"/>
      <c r="R49" s="41"/>
      <c r="S49" s="40"/>
    </row>
  </sheetData>
  <mergeCells count="3">
    <mergeCell ref="I36:K36"/>
    <mergeCell ref="B45:L47"/>
    <mergeCell ref="B23:L32"/>
  </mergeCells>
  <dataValidations count="3">
    <dataValidation type="list" allowBlank="1" showInputMessage="1" showErrorMessage="1" sqref="I36:K40">
      <formula1>$O$3:$O$21</formula1>
    </dataValidation>
    <dataValidation type="list" allowBlank="1" showInputMessage="1" showErrorMessage="1" sqref="G36:G40">
      <formula1>$O$17:$O$19</formula1>
    </dataValidation>
    <dataValidation allowBlank="1" showErrorMessage="1" promptTitle="Do not change" sqref="B35"/>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0"/>
  <sheetViews>
    <sheetView showGridLines="0"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161</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3942138</v>
      </c>
      <c r="F5" s="18">
        <v>4124652</v>
      </c>
      <c r="G5" s="18">
        <v>3929384.41</v>
      </c>
      <c r="I5" s="86" t="s">
        <v>38</v>
      </c>
      <c r="J5" s="73"/>
      <c r="K5" s="73"/>
      <c r="L5" s="73">
        <v>0</v>
      </c>
      <c r="O5" s="15" t="s">
        <v>4</v>
      </c>
      <c r="S5" s="10">
        <f t="shared" si="0"/>
        <v>0</v>
      </c>
    </row>
    <row r="6" spans="1:19" x14ac:dyDescent="0.25">
      <c r="B6" s="16" t="s">
        <v>7</v>
      </c>
      <c r="C6" s="17"/>
      <c r="D6" s="12"/>
      <c r="E6" s="18">
        <v>3565918</v>
      </c>
      <c r="F6" s="18">
        <v>3722478</v>
      </c>
      <c r="G6" s="18">
        <f>+G5-235574</f>
        <v>3693810.41</v>
      </c>
      <c r="I6" s="87" t="s">
        <v>39</v>
      </c>
      <c r="J6" s="18">
        <v>0</v>
      </c>
      <c r="K6" s="18">
        <v>33000</v>
      </c>
      <c r="L6" s="18">
        <v>0</v>
      </c>
      <c r="O6" s="15" t="s">
        <v>6</v>
      </c>
      <c r="S6" s="10">
        <f t="shared" si="0"/>
        <v>0</v>
      </c>
    </row>
    <row r="7" spans="1:19" x14ac:dyDescent="0.25">
      <c r="B7" s="21" t="s">
        <v>9</v>
      </c>
      <c r="C7" s="22"/>
      <c r="D7" s="23"/>
      <c r="E7" s="24">
        <v>3436528</v>
      </c>
      <c r="F7" s="24">
        <v>3582934</v>
      </c>
      <c r="G7" s="24">
        <f>G6-L6</f>
        <v>3693810.41</v>
      </c>
      <c r="I7" s="87" t="s">
        <v>40</v>
      </c>
      <c r="J7" s="18">
        <v>43000</v>
      </c>
      <c r="K7" s="18">
        <v>55000</v>
      </c>
      <c r="L7" s="18">
        <f>+L41</f>
        <v>0</v>
      </c>
      <c r="O7" s="15" t="s">
        <v>8</v>
      </c>
      <c r="P7" s="20"/>
      <c r="S7" s="10">
        <f t="shared" si="0"/>
        <v>0</v>
      </c>
    </row>
    <row r="8" spans="1:19" x14ac:dyDescent="0.25">
      <c r="B8" s="26" t="s">
        <v>11</v>
      </c>
      <c r="C8" s="27"/>
      <c r="D8" s="28"/>
      <c r="E8" s="29">
        <v>129390</v>
      </c>
      <c r="F8" s="29">
        <v>139544</v>
      </c>
      <c r="G8" s="29">
        <f>G6-G7</f>
        <v>0</v>
      </c>
      <c r="I8" s="88" t="s">
        <v>43</v>
      </c>
      <c r="J8" s="74">
        <f>E8</f>
        <v>129390</v>
      </c>
      <c r="K8" s="74">
        <f>F8</f>
        <v>139544</v>
      </c>
      <c r="L8" s="74"/>
      <c r="O8" s="15" t="s">
        <v>10</v>
      </c>
      <c r="P8" s="25"/>
      <c r="S8" s="10">
        <f t="shared" si="0"/>
        <v>0</v>
      </c>
    </row>
    <row r="9" spans="1:19" x14ac:dyDescent="0.25">
      <c r="B9" s="32" t="s">
        <v>37</v>
      </c>
      <c r="C9" s="33"/>
      <c r="D9" s="23"/>
      <c r="E9" s="34">
        <f>IF(ISERROR(IF(E8=0,"",(E8/$E$5))),"",(IF(E8=0,"",(E8/$E$5))))</f>
        <v>3.2822290848265587E-2</v>
      </c>
      <c r="F9" s="34">
        <f>IF(ISERROR(IF(F8=0,"",(F8/$F$5))),"",(IF(F8=0,"",(F8/$F$5))))</f>
        <v>3.3831702650308437E-2</v>
      </c>
      <c r="G9" s="34" t="str">
        <f>IF(ISERROR(IF(G8=0,"",(G8/$G$5))),"",(IF(G8=0,"",(G8/$G$5))))</f>
        <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5" customHeight="1" x14ac:dyDescent="0.25">
      <c r="A23" s="39"/>
      <c r="B23" s="580" t="s">
        <v>330</v>
      </c>
      <c r="C23" s="580"/>
      <c r="D23" s="580"/>
      <c r="E23" s="580"/>
      <c r="F23" s="580"/>
      <c r="G23" s="580"/>
      <c r="H23" s="580"/>
      <c r="I23" s="580"/>
      <c r="J23" s="580"/>
      <c r="K23" s="580"/>
      <c r="L23" s="580"/>
      <c r="O23" s="15"/>
      <c r="P23" s="12"/>
      <c r="Q23" s="12"/>
      <c r="R23" s="12"/>
      <c r="S23" s="10"/>
    </row>
    <row r="24" spans="1:19" s="41" customFormat="1" ht="15" customHeight="1" x14ac:dyDescent="0.25">
      <c r="A24" s="39"/>
      <c r="B24" s="580"/>
      <c r="C24" s="580"/>
      <c r="D24" s="580"/>
      <c r="E24" s="580"/>
      <c r="F24" s="580"/>
      <c r="G24" s="580"/>
      <c r="H24" s="580"/>
      <c r="I24" s="580"/>
      <c r="J24" s="580"/>
      <c r="K24" s="580"/>
      <c r="L24" s="580"/>
      <c r="O24" s="15"/>
      <c r="P24" s="12"/>
      <c r="Q24" s="12"/>
      <c r="R24" s="12"/>
      <c r="S24" s="10"/>
    </row>
    <row r="25" spans="1:19" s="41" customFormat="1" ht="15" hidden="1" customHeight="1" x14ac:dyDescent="0.25">
      <c r="A25" s="39"/>
      <c r="B25" s="580"/>
      <c r="C25" s="580"/>
      <c r="D25" s="580"/>
      <c r="E25" s="580"/>
      <c r="F25" s="580"/>
      <c r="G25" s="580"/>
      <c r="H25" s="580"/>
      <c r="I25" s="580"/>
      <c r="J25" s="580"/>
      <c r="K25" s="580"/>
      <c r="L25" s="580"/>
      <c r="O25" s="15"/>
      <c r="P25" s="12"/>
      <c r="Q25" s="12"/>
      <c r="R25" s="12"/>
      <c r="S25" s="10"/>
    </row>
    <row r="26" spans="1:19" s="41" customFormat="1" ht="15" hidden="1" customHeight="1" x14ac:dyDescent="0.25">
      <c r="A26" s="39"/>
      <c r="B26" s="580"/>
      <c r="C26" s="580"/>
      <c r="D26" s="580"/>
      <c r="E26" s="580"/>
      <c r="F26" s="580"/>
      <c r="G26" s="580"/>
      <c r="H26" s="580"/>
      <c r="I26" s="580"/>
      <c r="J26" s="580"/>
      <c r="K26" s="580"/>
      <c r="L26" s="580"/>
      <c r="O26" s="15"/>
      <c r="P26" s="12"/>
      <c r="Q26" s="12"/>
      <c r="R26" s="12"/>
      <c r="S26" s="10"/>
    </row>
    <row r="27" spans="1:19" s="41" customFormat="1" ht="15" hidden="1" customHeight="1" x14ac:dyDescent="0.25">
      <c r="A27" s="39"/>
      <c r="B27" s="580"/>
      <c r="C27" s="580"/>
      <c r="D27" s="580"/>
      <c r="E27" s="580"/>
      <c r="F27" s="580"/>
      <c r="G27" s="580"/>
      <c r="H27" s="580"/>
      <c r="I27" s="580"/>
      <c r="J27" s="580"/>
      <c r="K27" s="580"/>
      <c r="L27" s="580"/>
      <c r="O27" s="15"/>
      <c r="P27" s="12"/>
      <c r="Q27" s="12"/>
      <c r="R27" s="12"/>
      <c r="S27" s="10"/>
    </row>
    <row r="28" spans="1:19" s="41" customFormat="1" ht="15" hidden="1" customHeight="1" x14ac:dyDescent="0.25">
      <c r="A28" s="39"/>
      <c r="B28" s="580"/>
      <c r="C28" s="580"/>
      <c r="D28" s="580"/>
      <c r="E28" s="580"/>
      <c r="F28" s="580"/>
      <c r="G28" s="580"/>
      <c r="H28" s="580"/>
      <c r="I28" s="580"/>
      <c r="J28" s="580"/>
      <c r="K28" s="580"/>
      <c r="L28" s="580"/>
      <c r="O28" s="15"/>
      <c r="P28" s="12"/>
      <c r="Q28" s="12"/>
      <c r="R28" s="12"/>
      <c r="S28" s="10"/>
    </row>
    <row r="29" spans="1:19" s="41" customFormat="1" ht="15" hidden="1" customHeight="1" x14ac:dyDescent="0.25">
      <c r="A29" s="39"/>
      <c r="B29" s="580"/>
      <c r="C29" s="580"/>
      <c r="D29" s="580"/>
      <c r="E29" s="580"/>
      <c r="F29" s="580"/>
      <c r="G29" s="580"/>
      <c r="H29" s="580"/>
      <c r="I29" s="580"/>
      <c r="J29" s="580"/>
      <c r="K29" s="580"/>
      <c r="L29" s="580"/>
      <c r="O29" s="15"/>
      <c r="P29" s="12"/>
      <c r="Q29" s="12"/>
      <c r="R29" s="12"/>
      <c r="S29" s="10"/>
    </row>
    <row r="30" spans="1:19" s="41" customFormat="1" ht="15" hidden="1" customHeight="1" x14ac:dyDescent="0.25">
      <c r="A30" s="39"/>
      <c r="B30" s="580"/>
      <c r="C30" s="580"/>
      <c r="D30" s="580"/>
      <c r="E30" s="580"/>
      <c r="F30" s="580"/>
      <c r="G30" s="580"/>
      <c r="H30" s="580"/>
      <c r="I30" s="580"/>
      <c r="J30" s="580"/>
      <c r="K30" s="580"/>
      <c r="L30" s="580"/>
      <c r="O30" s="15"/>
      <c r="P30" s="12"/>
      <c r="Q30" s="12"/>
      <c r="R30" s="12"/>
      <c r="S30" s="10"/>
    </row>
    <row r="31" spans="1:19" s="41" customFormat="1" ht="13.8" x14ac:dyDescent="0.25">
      <c r="A31" s="39"/>
      <c r="B31" s="580"/>
      <c r="C31" s="580"/>
      <c r="D31" s="580"/>
      <c r="E31" s="580"/>
      <c r="F31" s="580"/>
      <c r="G31" s="580"/>
      <c r="H31" s="580"/>
      <c r="I31" s="580"/>
      <c r="J31" s="580"/>
      <c r="K31" s="580"/>
      <c r="L31" s="580"/>
      <c r="O31" s="15"/>
      <c r="P31" s="12"/>
      <c r="Q31" s="12"/>
      <c r="R31" s="12"/>
      <c r="S31" s="10"/>
    </row>
    <row r="32" spans="1:19" s="41" customFormat="1" ht="15.75" customHeight="1" x14ac:dyDescent="0.25">
      <c r="A32" s="39"/>
      <c r="B32" s="580"/>
      <c r="C32" s="580"/>
      <c r="D32" s="580"/>
      <c r="E32" s="580"/>
      <c r="F32" s="580"/>
      <c r="G32" s="580"/>
      <c r="H32" s="580"/>
      <c r="I32" s="580"/>
      <c r="J32" s="580"/>
      <c r="K32" s="580"/>
      <c r="L32" s="580"/>
      <c r="O32" s="15"/>
      <c r="P32" s="12"/>
      <c r="Q32" s="12"/>
      <c r="R32" s="12"/>
      <c r="S32" s="10"/>
    </row>
    <row r="33" spans="1:23" s="41" customFormat="1" ht="5.25" customHeight="1" x14ac:dyDescent="0.25">
      <c r="A33" s="44"/>
      <c r="B33" s="193"/>
      <c r="C33" s="193"/>
      <c r="D33" s="193"/>
      <c r="E33" s="193"/>
      <c r="F33" s="193"/>
      <c r="G33" s="193"/>
      <c r="H33" s="193"/>
      <c r="I33" s="193"/>
      <c r="J33" s="193"/>
      <c r="K33" s="193"/>
      <c r="L33" s="193"/>
      <c r="M33" s="176"/>
      <c r="O33" s="15"/>
      <c r="P33" s="12"/>
      <c r="Q33" s="12"/>
      <c r="R33" s="12"/>
      <c r="S33" s="37"/>
    </row>
    <row r="34" spans="1:23" s="41" customFormat="1" ht="13.8" x14ac:dyDescent="0.25">
      <c r="A34" s="43"/>
      <c r="B34" s="48" t="s">
        <v>26</v>
      </c>
      <c r="D34" s="42"/>
      <c r="E34" s="42"/>
      <c r="F34" s="42"/>
      <c r="G34" s="42"/>
      <c r="H34" s="49"/>
      <c r="I34" s="50"/>
      <c r="J34" s="51"/>
      <c r="K34" s="51"/>
      <c r="O34" s="15"/>
      <c r="P34" s="12"/>
      <c r="Q34" s="12"/>
      <c r="R34" s="12"/>
      <c r="S34" s="37"/>
    </row>
    <row r="35" spans="1:23" s="41" customFormat="1" ht="13.8" x14ac:dyDescent="0.25">
      <c r="A35" s="43"/>
      <c r="B35" s="52"/>
      <c r="D35" s="42"/>
      <c r="E35" s="42"/>
      <c r="F35" s="42"/>
      <c r="G35" s="42"/>
      <c r="H35" s="53"/>
      <c r="I35" s="53" t="s">
        <v>27</v>
      </c>
      <c r="J35" s="42"/>
      <c r="L35" s="54" t="s">
        <v>28</v>
      </c>
      <c r="O35" s="15"/>
      <c r="P35" s="12"/>
      <c r="Q35" s="12"/>
      <c r="R35" s="12"/>
      <c r="S35" s="37"/>
    </row>
    <row r="36" spans="1:23" s="41" customFormat="1" ht="13.8" x14ac:dyDescent="0.25">
      <c r="A36" s="43"/>
      <c r="B36" s="55" t="s">
        <v>29</v>
      </c>
      <c r="C36" s="333" t="s">
        <v>382</v>
      </c>
      <c r="D36" s="253"/>
      <c r="E36" s="253"/>
      <c r="F36" s="253"/>
      <c r="G36" s="261"/>
      <c r="H36" s="261"/>
      <c r="I36" s="575"/>
      <c r="J36" s="575"/>
      <c r="K36" s="575"/>
      <c r="L36" s="219">
        <v>0</v>
      </c>
      <c r="M36" s="331" t="s">
        <v>194</v>
      </c>
      <c r="O36" s="43"/>
      <c r="S36" s="40"/>
    </row>
    <row r="37" spans="1:23" s="41" customFormat="1" ht="13.8" hidden="1" x14ac:dyDescent="0.25">
      <c r="A37" s="43"/>
      <c r="B37" s="55" t="s">
        <v>30</v>
      </c>
      <c r="C37" s="260"/>
      <c r="D37" s="253"/>
      <c r="E37" s="253"/>
      <c r="F37" s="253"/>
      <c r="G37" s="261"/>
      <c r="H37" s="261"/>
      <c r="I37" s="575"/>
      <c r="J37" s="575"/>
      <c r="K37" s="575"/>
      <c r="L37" s="220"/>
      <c r="O37" s="43"/>
      <c r="S37" s="40"/>
    </row>
    <row r="38" spans="1:23" s="41" customFormat="1" ht="13.8" hidden="1" x14ac:dyDescent="0.25">
      <c r="A38" s="43"/>
      <c r="B38" s="55" t="s">
        <v>31</v>
      </c>
      <c r="C38" s="260"/>
      <c r="D38" s="253"/>
      <c r="E38" s="253"/>
      <c r="F38" s="253"/>
      <c r="G38" s="261"/>
      <c r="H38" s="261"/>
      <c r="I38" s="575"/>
      <c r="J38" s="575"/>
      <c r="K38" s="575"/>
      <c r="L38" s="220"/>
      <c r="O38" s="43"/>
      <c r="S38" s="40"/>
    </row>
    <row r="39" spans="1:23" s="41" customFormat="1" ht="13.8" hidden="1" x14ac:dyDescent="0.25">
      <c r="A39" s="43"/>
      <c r="B39" s="55" t="s">
        <v>32</v>
      </c>
      <c r="C39" s="260"/>
      <c r="D39" s="253"/>
      <c r="E39" s="253"/>
      <c r="F39" s="253"/>
      <c r="G39" s="261"/>
      <c r="H39" s="261"/>
      <c r="I39" s="575"/>
      <c r="J39" s="575"/>
      <c r="K39" s="575"/>
      <c r="L39" s="220"/>
      <c r="O39" s="43"/>
      <c r="S39" s="40"/>
    </row>
    <row r="40" spans="1:23" s="41" customFormat="1" ht="13.8" hidden="1" x14ac:dyDescent="0.25">
      <c r="A40" s="43"/>
      <c r="B40" s="55" t="s">
        <v>33</v>
      </c>
      <c r="C40" s="260"/>
      <c r="D40" s="253"/>
      <c r="E40" s="253"/>
      <c r="F40" s="253"/>
      <c r="G40" s="261"/>
      <c r="H40" s="261"/>
      <c r="I40" s="575"/>
      <c r="J40" s="575"/>
      <c r="K40" s="575"/>
      <c r="L40" s="220"/>
      <c r="O40" s="43"/>
      <c r="S40" s="40"/>
    </row>
    <row r="41" spans="1:23" s="62" customFormat="1" ht="14.4" thickBot="1" x14ac:dyDescent="0.3">
      <c r="A41" s="60"/>
      <c r="B41" s="61" t="s">
        <v>184</v>
      </c>
      <c r="E41" s="52"/>
      <c r="F41" s="52"/>
      <c r="G41" s="63"/>
      <c r="H41" s="51"/>
      <c r="I41" s="63"/>
      <c r="J41" s="42"/>
      <c r="L41" s="64">
        <f>SUM(L36:L40)</f>
        <v>0</v>
      </c>
      <c r="M41" s="41"/>
      <c r="N41" s="41"/>
      <c r="O41" s="43"/>
      <c r="P41" s="41"/>
      <c r="Q41" s="41"/>
      <c r="R41" s="41"/>
      <c r="S41" s="40"/>
    </row>
    <row r="42" spans="1:23" s="41" customFormat="1" ht="8.25" customHeight="1" thickTop="1" x14ac:dyDescent="0.25">
      <c r="A42" s="65"/>
      <c r="B42" s="66"/>
      <c r="C42" s="66"/>
      <c r="D42" s="66"/>
      <c r="E42" s="66"/>
      <c r="F42" s="66"/>
      <c r="G42" s="66"/>
      <c r="H42" s="66"/>
      <c r="I42" s="66"/>
      <c r="J42" s="67"/>
      <c r="K42" s="67"/>
      <c r="L42" s="47"/>
      <c r="M42" s="47"/>
      <c r="O42" s="43"/>
      <c r="W42" s="40"/>
    </row>
    <row r="43" spans="1:23" s="41" customFormat="1" ht="3.75" customHeight="1" x14ac:dyDescent="0.25">
      <c r="A43" s="39"/>
      <c r="B43" s="68"/>
      <c r="C43" s="68"/>
      <c r="D43" s="68"/>
      <c r="E43" s="68"/>
      <c r="F43" s="68"/>
      <c r="G43" s="68"/>
      <c r="H43" s="68"/>
      <c r="I43" s="68"/>
      <c r="J43" s="69"/>
      <c r="K43" s="69"/>
      <c r="O43" s="43"/>
      <c r="W43" s="40"/>
    </row>
    <row r="44" spans="1:23" s="41" customFormat="1" ht="13.8" x14ac:dyDescent="0.25">
      <c r="A44" s="43"/>
      <c r="B44" s="6" t="s">
        <v>34</v>
      </c>
      <c r="C44" s="70"/>
      <c r="D44" s="70"/>
      <c r="E44" s="70"/>
      <c r="F44" s="70"/>
      <c r="G44" s="70"/>
      <c r="H44" s="70"/>
      <c r="I44" s="70"/>
      <c r="J44" s="89"/>
      <c r="K44" s="89"/>
      <c r="O44" s="43"/>
      <c r="W44" s="40"/>
    </row>
    <row r="45" spans="1:23" s="41" customFormat="1" ht="15" customHeight="1" x14ac:dyDescent="0.25">
      <c r="A45" s="43"/>
      <c r="B45" s="572"/>
      <c r="C45" s="572"/>
      <c r="D45" s="572"/>
      <c r="E45" s="572"/>
      <c r="F45" s="572"/>
      <c r="G45" s="572"/>
      <c r="H45" s="572"/>
      <c r="I45" s="572"/>
      <c r="J45" s="572"/>
      <c r="K45" s="572"/>
      <c r="L45" s="572"/>
      <c r="O45" s="43"/>
      <c r="W45" s="40"/>
    </row>
    <row r="46" spans="1:23" s="41" customFormat="1" ht="15" customHeight="1" x14ac:dyDescent="0.25">
      <c r="A46" s="43"/>
      <c r="B46" s="572"/>
      <c r="C46" s="572"/>
      <c r="D46" s="572"/>
      <c r="E46" s="572"/>
      <c r="F46" s="572"/>
      <c r="G46" s="572"/>
      <c r="H46" s="572"/>
      <c r="I46" s="572"/>
      <c r="J46" s="572"/>
      <c r="K46" s="572"/>
      <c r="L46" s="572"/>
      <c r="O46" s="43"/>
      <c r="W46" s="40"/>
    </row>
    <row r="47" spans="1:23" ht="13.8" x14ac:dyDescent="0.25">
      <c r="B47" s="572"/>
      <c r="C47" s="572"/>
      <c r="D47" s="572"/>
      <c r="E47" s="572"/>
      <c r="F47" s="572"/>
      <c r="G47" s="572"/>
      <c r="H47" s="572"/>
      <c r="I47" s="572"/>
      <c r="J47" s="572"/>
      <c r="K47" s="572"/>
      <c r="L47" s="572"/>
      <c r="M47" s="41"/>
      <c r="N47" s="41"/>
      <c r="O47" s="43"/>
      <c r="P47" s="41"/>
      <c r="Q47" s="41"/>
      <c r="R47" s="41"/>
      <c r="S47" s="40"/>
    </row>
    <row r="48" spans="1:23" s="41" customFormat="1" ht="8.25" customHeight="1" thickBot="1" x14ac:dyDescent="0.3">
      <c r="A48" s="77"/>
      <c r="B48" s="78"/>
      <c r="C48" s="78"/>
      <c r="D48" s="78"/>
      <c r="E48" s="78"/>
      <c r="F48" s="78"/>
      <c r="G48" s="78"/>
      <c r="H48" s="78"/>
      <c r="I48" s="78"/>
      <c r="J48" s="79"/>
      <c r="K48" s="79"/>
      <c r="L48" s="80"/>
      <c r="M48" s="80"/>
      <c r="O48" s="43"/>
      <c r="W48" s="40"/>
    </row>
    <row r="49" spans="1:23" s="41" customFormat="1" ht="6.75" customHeight="1" x14ac:dyDescent="0.25">
      <c r="A49" s="39"/>
      <c r="B49" s="68"/>
      <c r="C49" s="68"/>
      <c r="D49" s="68"/>
      <c r="E49" s="68"/>
      <c r="F49" s="68"/>
      <c r="G49" s="68"/>
      <c r="H49" s="68"/>
      <c r="I49" s="68"/>
      <c r="J49" s="69"/>
      <c r="K49" s="69"/>
      <c r="O49" s="43"/>
      <c r="W49" s="40"/>
    </row>
    <row r="50" spans="1:23" ht="13.8" x14ac:dyDescent="0.25">
      <c r="B50" s="48"/>
      <c r="L50" s="41"/>
      <c r="M50" s="41"/>
      <c r="N50" s="41"/>
      <c r="O50" s="43"/>
      <c r="P50" s="41"/>
      <c r="Q50" s="41"/>
      <c r="R50" s="41"/>
      <c r="S50" s="59"/>
    </row>
    <row r="51" spans="1:23" ht="11.25" customHeight="1" x14ac:dyDescent="0.25">
      <c r="B51" s="48"/>
      <c r="L51" s="41"/>
      <c r="M51" s="41"/>
      <c r="N51" s="41"/>
      <c r="O51" s="43"/>
      <c r="P51" s="41"/>
      <c r="Q51" s="41"/>
      <c r="R51" s="41"/>
      <c r="S51" s="59"/>
    </row>
    <row r="52" spans="1:23" ht="13.8" x14ac:dyDescent="0.25">
      <c r="L52" s="41"/>
      <c r="M52" s="41"/>
      <c r="N52" s="41"/>
      <c r="O52" s="43"/>
      <c r="P52" s="41"/>
      <c r="Q52" s="41"/>
      <c r="R52" s="41"/>
      <c r="S52" s="40"/>
    </row>
    <row r="53" spans="1:23" ht="13.8" x14ac:dyDescent="0.25">
      <c r="L53" s="41"/>
      <c r="M53" s="41"/>
      <c r="N53" s="41"/>
      <c r="O53" s="43"/>
      <c r="P53" s="41"/>
      <c r="Q53" s="41"/>
      <c r="R53" s="41"/>
      <c r="S53" s="40"/>
    </row>
    <row r="54" spans="1:23" ht="13.8" x14ac:dyDescent="0.25">
      <c r="O54" s="41"/>
      <c r="P54" s="41"/>
      <c r="Q54" s="41"/>
      <c r="R54" s="41"/>
      <c r="S54" s="40"/>
    </row>
    <row r="55" spans="1:23" ht="13.8" x14ac:dyDescent="0.25">
      <c r="O55" s="41"/>
      <c r="P55" s="41"/>
      <c r="Q55" s="41"/>
      <c r="R55" s="41"/>
      <c r="S55" s="40"/>
    </row>
    <row r="56" spans="1:23" ht="13.8" x14ac:dyDescent="0.25">
      <c r="O56" s="41"/>
      <c r="P56" s="41"/>
      <c r="Q56" s="41"/>
      <c r="R56" s="41"/>
      <c r="S56" s="40"/>
    </row>
    <row r="57" spans="1:23" ht="15.6" x14ac:dyDescent="0.3">
      <c r="O57" s="71"/>
      <c r="P57" s="71"/>
      <c r="Q57" s="71"/>
      <c r="R57" s="71"/>
      <c r="S57" s="72"/>
    </row>
    <row r="58" spans="1:23" ht="15.6" x14ac:dyDescent="0.3">
      <c r="O58" s="71"/>
      <c r="P58" s="71"/>
      <c r="Q58" s="71"/>
      <c r="R58" s="71"/>
      <c r="S58" s="72"/>
    </row>
    <row r="59" spans="1:23" ht="15.6" x14ac:dyDescent="0.3">
      <c r="O59" s="71"/>
      <c r="P59" s="71"/>
      <c r="Q59" s="71"/>
      <c r="R59" s="71"/>
      <c r="S59" s="72"/>
    </row>
    <row r="60" spans="1:23" ht="15.6" x14ac:dyDescent="0.3">
      <c r="O60" s="71"/>
      <c r="P60" s="71"/>
      <c r="Q60" s="71"/>
      <c r="R60" s="71"/>
      <c r="S60" s="72"/>
    </row>
  </sheetData>
  <mergeCells count="7">
    <mergeCell ref="B23:L32"/>
    <mergeCell ref="B45:L47"/>
    <mergeCell ref="I36:K36"/>
    <mergeCell ref="I37:K37"/>
    <mergeCell ref="I38:K38"/>
    <mergeCell ref="I39:K39"/>
    <mergeCell ref="I40:K40"/>
  </mergeCells>
  <dataValidations count="3">
    <dataValidation type="list" allowBlank="1" showInputMessage="1" showErrorMessage="1" sqref="G36:G40">
      <formula1>$O$17:$O$19</formula1>
    </dataValidation>
    <dataValidation allowBlank="1" showErrorMessage="1" promptTitle="Do not change" sqref="B35"/>
    <dataValidation type="list" allowBlank="1" showInputMessage="1" showErrorMessage="1" sqref="I36:K40">
      <formula1>$O$3:$O$21</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75"/>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180</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37306800</v>
      </c>
      <c r="F5" s="18">
        <v>39963101</v>
      </c>
      <c r="G5" s="18">
        <v>40911821</v>
      </c>
      <c r="I5" s="86" t="s">
        <v>38</v>
      </c>
      <c r="J5" s="73"/>
      <c r="K5" s="73"/>
      <c r="L5" s="73">
        <v>0</v>
      </c>
      <c r="O5" s="15" t="s">
        <v>4</v>
      </c>
      <c r="S5" s="10">
        <f t="shared" si="0"/>
        <v>0</v>
      </c>
    </row>
    <row r="6" spans="1:19" x14ac:dyDescent="0.25">
      <c r="B6" s="16" t="s">
        <v>7</v>
      </c>
      <c r="C6" s="17"/>
      <c r="D6" s="12"/>
      <c r="E6" s="18">
        <v>1778012</v>
      </c>
      <c r="F6" s="18">
        <v>-5735375</v>
      </c>
      <c r="G6" s="18">
        <f>+G5-47184291</f>
        <v>-6272470</v>
      </c>
      <c r="I6" s="87" t="s">
        <v>39</v>
      </c>
      <c r="J6" s="18">
        <v>-120000</v>
      </c>
      <c r="K6" s="18">
        <v>0</v>
      </c>
      <c r="L6" s="18">
        <v>100000</v>
      </c>
      <c r="O6" s="15" t="s">
        <v>6</v>
      </c>
      <c r="S6" s="10">
        <f t="shared" si="0"/>
        <v>0</v>
      </c>
    </row>
    <row r="7" spans="1:19" x14ac:dyDescent="0.25">
      <c r="B7" s="21" t="s">
        <v>9</v>
      </c>
      <c r="C7" s="22"/>
      <c r="D7" s="23"/>
      <c r="E7" s="24">
        <v>1544628</v>
      </c>
      <c r="F7" s="24">
        <v>-5389443</v>
      </c>
      <c r="G7" s="24">
        <f>G6-L6</f>
        <v>-6372470</v>
      </c>
      <c r="I7" s="87" t="s">
        <v>40</v>
      </c>
      <c r="J7" s="18">
        <v>-300000</v>
      </c>
      <c r="K7" s="18">
        <v>0</v>
      </c>
      <c r="L7" s="18">
        <f>+L58</f>
        <v>704000</v>
      </c>
      <c r="O7" s="15" t="s">
        <v>8</v>
      </c>
      <c r="P7" s="20"/>
      <c r="S7" s="10">
        <f t="shared" si="0"/>
        <v>0</v>
      </c>
    </row>
    <row r="8" spans="1:19" x14ac:dyDescent="0.25">
      <c r="B8" s="26" t="s">
        <v>11</v>
      </c>
      <c r="C8" s="27"/>
      <c r="D8" s="28"/>
      <c r="E8" s="29">
        <v>233384</v>
      </c>
      <c r="F8" s="29">
        <v>-345932</v>
      </c>
      <c r="G8" s="29">
        <f>G6-G7</f>
        <v>100000</v>
      </c>
      <c r="I8" s="88" t="s">
        <v>43</v>
      </c>
      <c r="J8" s="74">
        <f>E8</f>
        <v>233384</v>
      </c>
      <c r="K8" s="74">
        <f>F8</f>
        <v>-345932</v>
      </c>
      <c r="L8" s="74"/>
      <c r="O8" s="15" t="s">
        <v>10</v>
      </c>
      <c r="P8" s="25"/>
      <c r="S8" s="10">
        <f t="shared" si="0"/>
        <v>0</v>
      </c>
    </row>
    <row r="9" spans="1:19" x14ac:dyDescent="0.25">
      <c r="B9" s="32" t="s">
        <v>37</v>
      </c>
      <c r="C9" s="33"/>
      <c r="D9" s="23"/>
      <c r="E9" s="34">
        <f>IF(ISERROR(IF(E8=0,"",(E8/$E$5))),"",(IF(E8=0,"",(E8/$E$5))))</f>
        <v>6.2558032315824458E-3</v>
      </c>
      <c r="F9" s="34">
        <f>IF(ISERROR(IF(F8=0,"",(F8/$F$5))),"",(IF(F8=0,"",(F8/$F$5))))</f>
        <v>-8.6562852066960471E-3</v>
      </c>
      <c r="G9" s="34">
        <f>IF(ISERROR(IF(G8=0,"",(G8/$G$5))),"",(IF(G8=0,"",(G8/$G$5))))</f>
        <v>2.444281323972355E-3</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704000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704000</v>
      </c>
    </row>
    <row r="23" spans="1:19" s="41" customFormat="1" ht="15" customHeight="1" x14ac:dyDescent="0.25">
      <c r="A23" s="39"/>
      <c r="B23" s="581" t="s">
        <v>410</v>
      </c>
      <c r="C23" s="572"/>
      <c r="D23" s="572"/>
      <c r="E23" s="572"/>
      <c r="F23" s="572"/>
      <c r="G23" s="572"/>
      <c r="H23" s="572"/>
      <c r="I23" s="572"/>
      <c r="J23" s="572"/>
      <c r="K23" s="572"/>
      <c r="L23" s="572"/>
      <c r="O23" s="15"/>
      <c r="P23" s="12"/>
      <c r="Q23" s="12"/>
      <c r="R23" s="12"/>
      <c r="S23" s="10"/>
    </row>
    <row r="24" spans="1:19" s="41" customFormat="1" ht="15" customHeight="1" x14ac:dyDescent="0.25">
      <c r="A24" s="39"/>
      <c r="B24" s="572"/>
      <c r="C24" s="572"/>
      <c r="D24" s="572"/>
      <c r="E24" s="572"/>
      <c r="F24" s="572"/>
      <c r="G24" s="572"/>
      <c r="H24" s="572"/>
      <c r="I24" s="572"/>
      <c r="J24" s="572"/>
      <c r="K24" s="572"/>
      <c r="L24" s="572"/>
      <c r="O24" s="15"/>
      <c r="P24" s="12"/>
      <c r="Q24" s="12"/>
      <c r="R24" s="12"/>
      <c r="S24" s="10"/>
    </row>
    <row r="25" spans="1:19" s="41" customFormat="1" ht="15" customHeight="1" x14ac:dyDescent="0.25">
      <c r="A25" s="39"/>
      <c r="B25" s="572"/>
      <c r="C25" s="572"/>
      <c r="D25" s="572"/>
      <c r="E25" s="572"/>
      <c r="F25" s="572"/>
      <c r="G25" s="572"/>
      <c r="H25" s="572"/>
      <c r="I25" s="572"/>
      <c r="J25" s="572"/>
      <c r="K25" s="572"/>
      <c r="L25" s="572"/>
      <c r="O25" s="15"/>
      <c r="P25" s="12"/>
      <c r="Q25" s="12"/>
      <c r="R25" s="12"/>
      <c r="S25" s="10"/>
    </row>
    <row r="26" spans="1:19" s="41" customFormat="1" ht="15" customHeight="1" x14ac:dyDescent="0.25">
      <c r="A26" s="39"/>
      <c r="B26" s="572"/>
      <c r="C26" s="572"/>
      <c r="D26" s="572"/>
      <c r="E26" s="572"/>
      <c r="F26" s="572"/>
      <c r="G26" s="572"/>
      <c r="H26" s="572"/>
      <c r="I26" s="572"/>
      <c r="J26" s="572"/>
      <c r="K26" s="572"/>
      <c r="L26" s="572"/>
      <c r="O26" s="15"/>
      <c r="P26" s="12"/>
      <c r="Q26" s="12"/>
      <c r="R26" s="12"/>
      <c r="S26" s="10"/>
    </row>
    <row r="27" spans="1:19" s="41" customFormat="1" ht="15" customHeight="1" x14ac:dyDescent="0.25">
      <c r="A27" s="39"/>
      <c r="B27" s="572"/>
      <c r="C27" s="572"/>
      <c r="D27" s="572"/>
      <c r="E27" s="572"/>
      <c r="F27" s="572"/>
      <c r="G27" s="572"/>
      <c r="H27" s="572"/>
      <c r="I27" s="572"/>
      <c r="J27" s="572"/>
      <c r="K27" s="572"/>
      <c r="L27" s="572"/>
      <c r="O27" s="15"/>
      <c r="P27" s="12"/>
      <c r="Q27" s="12"/>
      <c r="R27" s="12"/>
      <c r="S27" s="10"/>
    </row>
    <row r="28" spans="1:19" s="41" customFormat="1" ht="15" customHeight="1" x14ac:dyDescent="0.25">
      <c r="A28" s="39"/>
      <c r="B28" s="572"/>
      <c r="C28" s="572"/>
      <c r="D28" s="572"/>
      <c r="E28" s="572"/>
      <c r="F28" s="572"/>
      <c r="G28" s="572"/>
      <c r="H28" s="572"/>
      <c r="I28" s="572"/>
      <c r="J28" s="572"/>
      <c r="K28" s="572"/>
      <c r="L28" s="572"/>
      <c r="O28" s="15"/>
      <c r="P28" s="12"/>
      <c r="Q28" s="12"/>
      <c r="R28" s="12"/>
      <c r="S28" s="10"/>
    </row>
    <row r="29" spans="1:19" s="41" customFormat="1" ht="15" customHeight="1" x14ac:dyDescent="0.25">
      <c r="A29" s="39"/>
      <c r="B29" s="572"/>
      <c r="C29" s="572"/>
      <c r="D29" s="572"/>
      <c r="E29" s="572"/>
      <c r="F29" s="572"/>
      <c r="G29" s="572"/>
      <c r="H29" s="572"/>
      <c r="I29" s="572"/>
      <c r="J29" s="572"/>
      <c r="K29" s="572"/>
      <c r="L29" s="572"/>
      <c r="O29" s="15"/>
      <c r="P29" s="12"/>
      <c r="Q29" s="12"/>
      <c r="R29" s="12"/>
      <c r="S29" s="10"/>
    </row>
    <row r="30" spans="1:19" s="41" customFormat="1" ht="15" customHeight="1" x14ac:dyDescent="0.25">
      <c r="A30" s="39"/>
      <c r="B30" s="572"/>
      <c r="C30" s="572"/>
      <c r="D30" s="572"/>
      <c r="E30" s="572"/>
      <c r="F30" s="572"/>
      <c r="G30" s="572"/>
      <c r="H30" s="572"/>
      <c r="I30" s="572"/>
      <c r="J30" s="572"/>
      <c r="K30" s="572"/>
      <c r="L30" s="572"/>
      <c r="O30" s="15"/>
      <c r="P30" s="12"/>
      <c r="Q30" s="12"/>
      <c r="R30" s="12"/>
      <c r="S30" s="10"/>
    </row>
    <row r="31" spans="1:19" s="41" customFormat="1" ht="15" customHeight="1" x14ac:dyDescent="0.25">
      <c r="A31" s="39"/>
      <c r="B31" s="572"/>
      <c r="C31" s="572"/>
      <c r="D31" s="572"/>
      <c r="E31" s="572"/>
      <c r="F31" s="572"/>
      <c r="G31" s="572"/>
      <c r="H31" s="572"/>
      <c r="I31" s="572"/>
      <c r="J31" s="572"/>
      <c r="K31" s="572"/>
      <c r="L31" s="572"/>
      <c r="O31" s="15"/>
      <c r="P31" s="12"/>
      <c r="Q31" s="12"/>
      <c r="R31" s="12"/>
      <c r="S31" s="10"/>
    </row>
    <row r="32" spans="1:19" s="41" customFormat="1" ht="15" customHeight="1" x14ac:dyDescent="0.25">
      <c r="A32" s="39"/>
      <c r="B32" s="572"/>
      <c r="C32" s="572"/>
      <c r="D32" s="572"/>
      <c r="E32" s="572"/>
      <c r="F32" s="572"/>
      <c r="G32" s="572"/>
      <c r="H32" s="572"/>
      <c r="I32" s="572"/>
      <c r="J32" s="572"/>
      <c r="K32" s="572"/>
      <c r="L32" s="572"/>
      <c r="O32" s="15"/>
      <c r="P32" s="12"/>
      <c r="Q32" s="12"/>
      <c r="R32" s="12"/>
      <c r="S32" s="10"/>
    </row>
    <row r="33" spans="1:19" s="41" customFormat="1" ht="15" customHeight="1" x14ac:dyDescent="0.25">
      <c r="A33" s="39"/>
      <c r="B33" s="572"/>
      <c r="C33" s="572"/>
      <c r="D33" s="572"/>
      <c r="E33" s="572"/>
      <c r="F33" s="572"/>
      <c r="G33" s="572"/>
      <c r="H33" s="572"/>
      <c r="I33" s="572"/>
      <c r="J33" s="572"/>
      <c r="K33" s="572"/>
      <c r="L33" s="572"/>
      <c r="O33" s="15"/>
      <c r="P33" s="12"/>
      <c r="Q33" s="12"/>
      <c r="R33" s="12"/>
      <c r="S33" s="10"/>
    </row>
    <row r="34" spans="1:19" s="41" customFormat="1" ht="15" customHeight="1" x14ac:dyDescent="0.25">
      <c r="A34" s="39"/>
      <c r="B34" s="572"/>
      <c r="C34" s="572"/>
      <c r="D34" s="572"/>
      <c r="E34" s="572"/>
      <c r="F34" s="572"/>
      <c r="G34" s="572"/>
      <c r="H34" s="572"/>
      <c r="I34" s="572"/>
      <c r="J34" s="572"/>
      <c r="K34" s="572"/>
      <c r="L34" s="572"/>
      <c r="O34" s="15"/>
      <c r="P34" s="12"/>
      <c r="Q34" s="12"/>
      <c r="R34" s="12"/>
      <c r="S34" s="10"/>
    </row>
    <row r="35" spans="1:19" s="41" customFormat="1" ht="15" customHeight="1" x14ac:dyDescent="0.25">
      <c r="A35" s="39"/>
      <c r="B35" s="572"/>
      <c r="C35" s="572"/>
      <c r="D35" s="572"/>
      <c r="E35" s="572"/>
      <c r="F35" s="572"/>
      <c r="G35" s="572"/>
      <c r="H35" s="572"/>
      <c r="I35" s="572"/>
      <c r="J35" s="572"/>
      <c r="K35" s="572"/>
      <c r="L35" s="572"/>
      <c r="O35" s="15"/>
      <c r="P35" s="12"/>
      <c r="Q35" s="12"/>
      <c r="R35" s="12"/>
      <c r="S35" s="10"/>
    </row>
    <row r="36" spans="1:19" s="41" customFormat="1" ht="15" customHeight="1" x14ac:dyDescent="0.25">
      <c r="A36" s="39"/>
      <c r="B36" s="572"/>
      <c r="C36" s="572"/>
      <c r="D36" s="572"/>
      <c r="E36" s="572"/>
      <c r="F36" s="572"/>
      <c r="G36" s="572"/>
      <c r="H36" s="572"/>
      <c r="I36" s="572"/>
      <c r="J36" s="572"/>
      <c r="K36" s="572"/>
      <c r="L36" s="572"/>
      <c r="O36" s="15"/>
      <c r="P36" s="12"/>
      <c r="Q36" s="12"/>
      <c r="R36" s="12"/>
      <c r="S36" s="10"/>
    </row>
    <row r="37" spans="1:19" s="41" customFormat="1" ht="15" customHeight="1" x14ac:dyDescent="0.25">
      <c r="A37" s="39"/>
      <c r="B37" s="572"/>
      <c r="C37" s="572"/>
      <c r="D37" s="572"/>
      <c r="E37" s="572"/>
      <c r="F37" s="572"/>
      <c r="G37" s="572"/>
      <c r="H37" s="572"/>
      <c r="I37" s="572"/>
      <c r="J37" s="572"/>
      <c r="K37" s="572"/>
      <c r="L37" s="572"/>
      <c r="O37" s="15"/>
      <c r="P37" s="12"/>
      <c r="Q37" s="12"/>
      <c r="R37" s="12"/>
      <c r="S37" s="10"/>
    </row>
    <row r="38" spans="1:19" s="41" customFormat="1" ht="15" customHeight="1" x14ac:dyDescent="0.25">
      <c r="A38" s="39"/>
      <c r="B38" s="572"/>
      <c r="C38" s="572"/>
      <c r="D38" s="572"/>
      <c r="E38" s="572"/>
      <c r="F38" s="572"/>
      <c r="G38" s="572"/>
      <c r="H38" s="572"/>
      <c r="I38" s="572"/>
      <c r="J38" s="572"/>
      <c r="K38" s="572"/>
      <c r="L38" s="572"/>
      <c r="O38" s="15"/>
      <c r="P38" s="12"/>
      <c r="Q38" s="12"/>
      <c r="R38" s="12"/>
      <c r="S38" s="10"/>
    </row>
    <row r="39" spans="1:19" s="41" customFormat="1" ht="15" customHeight="1" x14ac:dyDescent="0.25">
      <c r="A39" s="39"/>
      <c r="B39" s="572"/>
      <c r="C39" s="572"/>
      <c r="D39" s="572"/>
      <c r="E39" s="572"/>
      <c r="F39" s="572"/>
      <c r="G39" s="572"/>
      <c r="H39" s="572"/>
      <c r="I39" s="572"/>
      <c r="J39" s="572"/>
      <c r="K39" s="572"/>
      <c r="L39" s="572"/>
      <c r="O39" s="15"/>
      <c r="P39" s="12"/>
      <c r="Q39" s="12"/>
      <c r="R39" s="12"/>
      <c r="S39" s="10"/>
    </row>
    <row r="40" spans="1:19" s="41" customFormat="1" ht="15" customHeight="1" x14ac:dyDescent="0.25">
      <c r="A40" s="39"/>
      <c r="B40" s="572"/>
      <c r="C40" s="572"/>
      <c r="D40" s="572"/>
      <c r="E40" s="572"/>
      <c r="F40" s="572"/>
      <c r="G40" s="572"/>
      <c r="H40" s="572"/>
      <c r="I40" s="572"/>
      <c r="J40" s="572"/>
      <c r="K40" s="572"/>
      <c r="L40" s="572"/>
      <c r="O40" s="15"/>
      <c r="P40" s="12"/>
      <c r="Q40" s="12"/>
      <c r="R40" s="12"/>
      <c r="S40" s="10"/>
    </row>
    <row r="41" spans="1:19" s="41" customFormat="1" ht="15" customHeight="1" x14ac:dyDescent="0.25">
      <c r="A41" s="39"/>
      <c r="B41" s="572"/>
      <c r="C41" s="572"/>
      <c r="D41" s="572"/>
      <c r="E41" s="572"/>
      <c r="F41" s="572"/>
      <c r="G41" s="572"/>
      <c r="H41" s="572"/>
      <c r="I41" s="572"/>
      <c r="J41" s="572"/>
      <c r="K41" s="572"/>
      <c r="L41" s="572"/>
      <c r="O41" s="15"/>
      <c r="P41" s="12"/>
      <c r="Q41" s="12"/>
      <c r="R41" s="12"/>
      <c r="S41" s="10"/>
    </row>
    <row r="42" spans="1:19" s="41" customFormat="1" ht="15" customHeight="1" x14ac:dyDescent="0.25">
      <c r="A42" s="39"/>
      <c r="B42" s="572"/>
      <c r="C42" s="572"/>
      <c r="D42" s="572"/>
      <c r="E42" s="572"/>
      <c r="F42" s="572"/>
      <c r="G42" s="572"/>
      <c r="H42" s="572"/>
      <c r="I42" s="572"/>
      <c r="J42" s="572"/>
      <c r="K42" s="572"/>
      <c r="L42" s="572"/>
      <c r="O42" s="15"/>
      <c r="P42" s="12"/>
      <c r="Q42" s="12"/>
      <c r="R42" s="12"/>
      <c r="S42" s="10"/>
    </row>
    <row r="43" spans="1:19" s="41" customFormat="1" ht="15" customHeight="1" x14ac:dyDescent="0.25">
      <c r="A43" s="39"/>
      <c r="B43" s="572"/>
      <c r="C43" s="572"/>
      <c r="D43" s="572"/>
      <c r="E43" s="572"/>
      <c r="F43" s="572"/>
      <c r="G43" s="572"/>
      <c r="H43" s="572"/>
      <c r="I43" s="572"/>
      <c r="J43" s="572"/>
      <c r="K43" s="572"/>
      <c r="L43" s="572"/>
      <c r="O43" s="15"/>
      <c r="P43" s="12"/>
      <c r="Q43" s="12"/>
      <c r="R43" s="12"/>
      <c r="S43" s="10"/>
    </row>
    <row r="44" spans="1:19" s="41" customFormat="1" ht="15" customHeight="1" x14ac:dyDescent="0.25">
      <c r="A44" s="39"/>
      <c r="B44" s="572"/>
      <c r="C44" s="572"/>
      <c r="D44" s="572"/>
      <c r="E44" s="572"/>
      <c r="F44" s="572"/>
      <c r="G44" s="572"/>
      <c r="H44" s="572"/>
      <c r="I44" s="572"/>
      <c r="J44" s="572"/>
      <c r="K44" s="572"/>
      <c r="L44" s="572"/>
      <c r="O44" s="15"/>
      <c r="P44" s="12"/>
      <c r="Q44" s="12"/>
      <c r="R44" s="12"/>
      <c r="S44" s="10"/>
    </row>
    <row r="45" spans="1:19" s="41" customFormat="1" ht="15" customHeight="1" x14ac:dyDescent="0.25">
      <c r="A45" s="39"/>
      <c r="B45" s="572"/>
      <c r="C45" s="572"/>
      <c r="D45" s="572"/>
      <c r="E45" s="572"/>
      <c r="F45" s="572"/>
      <c r="G45" s="572"/>
      <c r="H45" s="572"/>
      <c r="I45" s="572"/>
      <c r="J45" s="572"/>
      <c r="K45" s="572"/>
      <c r="L45" s="572"/>
      <c r="O45" s="15"/>
      <c r="P45" s="12"/>
      <c r="Q45" s="12"/>
      <c r="R45" s="12"/>
      <c r="S45" s="10"/>
    </row>
    <row r="46" spans="1:19" s="41" customFormat="1" ht="15" customHeight="1" x14ac:dyDescent="0.25">
      <c r="A46" s="39"/>
      <c r="B46" s="572"/>
      <c r="C46" s="572"/>
      <c r="D46" s="572"/>
      <c r="E46" s="572"/>
      <c r="F46" s="572"/>
      <c r="G46" s="572"/>
      <c r="H46" s="572"/>
      <c r="I46" s="572"/>
      <c r="J46" s="572"/>
      <c r="K46" s="572"/>
      <c r="L46" s="572"/>
      <c r="O46" s="15"/>
      <c r="P46" s="12"/>
      <c r="Q46" s="12"/>
      <c r="R46" s="12"/>
      <c r="S46" s="10"/>
    </row>
    <row r="47" spans="1:19" s="41" customFormat="1" ht="15" customHeight="1" x14ac:dyDescent="0.25">
      <c r="A47" s="39"/>
      <c r="B47" s="572"/>
      <c r="C47" s="572"/>
      <c r="D47" s="572"/>
      <c r="E47" s="572"/>
      <c r="F47" s="572"/>
      <c r="G47" s="572"/>
      <c r="H47" s="572"/>
      <c r="I47" s="572"/>
      <c r="J47" s="572"/>
      <c r="K47" s="572"/>
      <c r="L47" s="572"/>
      <c r="O47" s="15"/>
      <c r="P47" s="12"/>
      <c r="Q47" s="12"/>
      <c r="R47" s="12"/>
      <c r="S47" s="10"/>
    </row>
    <row r="48" spans="1:19" s="41" customFormat="1" ht="15" customHeight="1" x14ac:dyDescent="0.25">
      <c r="A48" s="39"/>
      <c r="B48" s="572"/>
      <c r="C48" s="572"/>
      <c r="D48" s="572"/>
      <c r="E48" s="572"/>
      <c r="F48" s="572"/>
      <c r="G48" s="572"/>
      <c r="H48" s="572"/>
      <c r="I48" s="572"/>
      <c r="J48" s="572"/>
      <c r="K48" s="572"/>
      <c r="L48" s="572"/>
      <c r="O48" s="15"/>
      <c r="P48" s="12"/>
      <c r="Q48" s="12"/>
      <c r="R48" s="12"/>
      <c r="S48" s="10"/>
    </row>
    <row r="49" spans="1:23" s="41" customFormat="1" ht="15" customHeight="1" x14ac:dyDescent="0.25">
      <c r="A49" s="39"/>
      <c r="B49" s="572"/>
      <c r="C49" s="572"/>
      <c r="D49" s="572"/>
      <c r="E49" s="572"/>
      <c r="F49" s="572"/>
      <c r="G49" s="572"/>
      <c r="H49" s="572"/>
      <c r="I49" s="572"/>
      <c r="J49" s="572"/>
      <c r="K49" s="572"/>
      <c r="L49" s="572"/>
      <c r="O49" s="15"/>
      <c r="P49" s="12"/>
      <c r="Q49" s="12"/>
      <c r="R49" s="12"/>
      <c r="S49" s="10"/>
    </row>
    <row r="50" spans="1:23" s="41" customFormat="1" ht="5.25" customHeight="1" x14ac:dyDescent="0.25">
      <c r="A50" s="44"/>
      <c r="B50" s="44"/>
      <c r="C50" s="44"/>
      <c r="D50" s="44"/>
      <c r="E50" s="44"/>
      <c r="F50" s="44"/>
      <c r="G50" s="44"/>
      <c r="H50" s="45"/>
      <c r="I50" s="45"/>
      <c r="J50" s="46"/>
      <c r="K50" s="47"/>
      <c r="L50" s="47"/>
      <c r="M50" s="47"/>
      <c r="O50" s="15"/>
      <c r="P50" s="12"/>
      <c r="Q50" s="12"/>
      <c r="R50" s="12"/>
      <c r="S50" s="37"/>
    </row>
    <row r="51" spans="1:23" s="41" customFormat="1" ht="13.8" x14ac:dyDescent="0.25">
      <c r="A51" s="43"/>
      <c r="B51" s="48" t="s">
        <v>26</v>
      </c>
      <c r="D51" s="42"/>
      <c r="E51" s="42"/>
      <c r="F51" s="42"/>
      <c r="G51" s="42"/>
      <c r="H51" s="49"/>
      <c r="I51" s="50"/>
      <c r="J51" s="51"/>
      <c r="K51" s="51"/>
      <c r="O51" s="15"/>
      <c r="P51" s="12"/>
      <c r="Q51" s="12"/>
      <c r="R51" s="12"/>
      <c r="S51" s="37"/>
    </row>
    <row r="52" spans="1:23" s="41" customFormat="1" ht="13.8" x14ac:dyDescent="0.25">
      <c r="A52" s="43"/>
      <c r="B52" s="52"/>
      <c r="D52" s="42"/>
      <c r="E52" s="42"/>
      <c r="F52" s="42"/>
      <c r="G52" s="42"/>
      <c r="H52" s="53"/>
      <c r="I52" s="53" t="s">
        <v>27</v>
      </c>
      <c r="J52" s="42"/>
      <c r="L52" s="54" t="s">
        <v>28</v>
      </c>
      <c r="O52" s="15"/>
      <c r="P52" s="12"/>
      <c r="Q52" s="12"/>
      <c r="R52" s="12"/>
      <c r="S52" s="37"/>
    </row>
    <row r="53" spans="1:23" s="41" customFormat="1" ht="13.8" x14ac:dyDescent="0.25">
      <c r="A53" s="43"/>
      <c r="B53" s="55" t="s">
        <v>29</v>
      </c>
      <c r="C53" s="260" t="s">
        <v>334</v>
      </c>
      <c r="D53" s="253"/>
      <c r="E53" s="253"/>
      <c r="F53" s="253"/>
      <c r="G53" s="261"/>
      <c r="H53" s="261"/>
      <c r="I53" s="575" t="s">
        <v>19</v>
      </c>
      <c r="J53" s="575"/>
      <c r="K53" s="575"/>
      <c r="L53" s="219">
        <v>700000</v>
      </c>
      <c r="M53" s="331" t="s">
        <v>195</v>
      </c>
      <c r="O53" s="43"/>
      <c r="S53" s="40"/>
    </row>
    <row r="54" spans="1:23" s="41" customFormat="1" ht="13.8" x14ac:dyDescent="0.25">
      <c r="A54" s="43"/>
      <c r="B54" s="55" t="s">
        <v>30</v>
      </c>
      <c r="C54" s="260" t="s">
        <v>335</v>
      </c>
      <c r="D54" s="253"/>
      <c r="E54" s="253"/>
      <c r="F54" s="253"/>
      <c r="G54" s="261"/>
      <c r="H54" s="261"/>
      <c r="I54" s="575" t="s">
        <v>19</v>
      </c>
      <c r="J54" s="575"/>
      <c r="K54" s="575"/>
      <c r="L54" s="220">
        <v>71000</v>
      </c>
      <c r="O54" s="43"/>
      <c r="S54" s="40"/>
    </row>
    <row r="55" spans="1:23" s="41" customFormat="1" ht="13.8" x14ac:dyDescent="0.25">
      <c r="A55" s="43"/>
      <c r="B55" s="55" t="s">
        <v>31</v>
      </c>
      <c r="C55" s="260" t="s">
        <v>336</v>
      </c>
      <c r="D55" s="253"/>
      <c r="E55" s="253"/>
      <c r="F55" s="253"/>
      <c r="G55" s="261"/>
      <c r="H55" s="261"/>
      <c r="I55" s="575" t="s">
        <v>19</v>
      </c>
      <c r="J55" s="575"/>
      <c r="K55" s="575"/>
      <c r="L55" s="220">
        <v>-67000</v>
      </c>
      <c r="O55" s="43"/>
      <c r="S55" s="40"/>
    </row>
    <row r="56" spans="1:23" s="41" customFormat="1" ht="13.8" hidden="1" x14ac:dyDescent="0.25">
      <c r="A56" s="43"/>
      <c r="B56" s="55" t="s">
        <v>32</v>
      </c>
      <c r="C56" s="260"/>
      <c r="D56" s="253"/>
      <c r="E56" s="253"/>
      <c r="F56" s="253"/>
      <c r="G56" s="261"/>
      <c r="H56" s="261"/>
      <c r="I56" s="575"/>
      <c r="J56" s="575"/>
      <c r="K56" s="575"/>
      <c r="L56" s="220"/>
      <c r="O56" s="43"/>
      <c r="S56" s="40"/>
    </row>
    <row r="57" spans="1:23" s="41" customFormat="1" ht="13.8" hidden="1" x14ac:dyDescent="0.25">
      <c r="A57" s="43"/>
      <c r="B57" s="55" t="s">
        <v>33</v>
      </c>
      <c r="C57" s="260"/>
      <c r="D57" s="253"/>
      <c r="E57" s="253"/>
      <c r="F57" s="253"/>
      <c r="G57" s="261"/>
      <c r="H57" s="261"/>
      <c r="I57" s="575"/>
      <c r="J57" s="575"/>
      <c r="K57" s="575"/>
      <c r="L57" s="220"/>
      <c r="O57" s="43"/>
      <c r="S57" s="40"/>
    </row>
    <row r="58" spans="1:23" s="62" customFormat="1" ht="14.4" thickBot="1" x14ac:dyDescent="0.3">
      <c r="A58" s="60"/>
      <c r="B58" s="61" t="s">
        <v>184</v>
      </c>
      <c r="E58" s="52"/>
      <c r="F58" s="52"/>
      <c r="G58" s="63"/>
      <c r="H58" s="51"/>
      <c r="I58" s="63"/>
      <c r="J58" s="42"/>
      <c r="L58" s="64">
        <f>SUM(L53:L57)</f>
        <v>704000</v>
      </c>
      <c r="M58" s="41"/>
      <c r="N58" s="41"/>
      <c r="O58" s="43"/>
      <c r="P58" s="41"/>
      <c r="Q58" s="41"/>
      <c r="R58" s="41"/>
      <c r="S58" s="40"/>
    </row>
    <row r="59" spans="1:23" s="41" customFormat="1" ht="8.25" customHeight="1" thickTop="1" x14ac:dyDescent="0.25">
      <c r="A59" s="65"/>
      <c r="B59" s="66"/>
      <c r="C59" s="66"/>
      <c r="D59" s="66"/>
      <c r="E59" s="66"/>
      <c r="F59" s="66"/>
      <c r="G59" s="66"/>
      <c r="H59" s="66"/>
      <c r="I59" s="66"/>
      <c r="J59" s="67"/>
      <c r="K59" s="67"/>
      <c r="L59" s="47"/>
      <c r="M59" s="47"/>
      <c r="O59" s="43"/>
      <c r="W59" s="40"/>
    </row>
    <row r="60" spans="1:23" s="41" customFormat="1" ht="3.75" customHeight="1" x14ac:dyDescent="0.25">
      <c r="A60" s="39"/>
      <c r="B60" s="68"/>
      <c r="C60" s="68"/>
      <c r="D60" s="68"/>
      <c r="E60" s="68"/>
      <c r="F60" s="68"/>
      <c r="G60" s="68"/>
      <c r="H60" s="68"/>
      <c r="I60" s="68"/>
      <c r="J60" s="69"/>
      <c r="K60" s="69"/>
      <c r="O60" s="43"/>
      <c r="W60" s="40"/>
    </row>
    <row r="61" spans="1:23" s="41" customFormat="1" ht="13.8" x14ac:dyDescent="0.25">
      <c r="A61" s="43"/>
      <c r="B61" s="6" t="s">
        <v>34</v>
      </c>
      <c r="C61" s="70"/>
      <c r="D61" s="70"/>
      <c r="E61" s="70"/>
      <c r="F61" s="70"/>
      <c r="G61" s="70"/>
      <c r="H61" s="70"/>
      <c r="I61" s="70"/>
      <c r="J61" s="89"/>
      <c r="K61" s="89"/>
      <c r="O61" s="43"/>
      <c r="W61" s="40"/>
    </row>
    <row r="62" spans="1:23" ht="13.8" x14ac:dyDescent="0.25">
      <c r="B62" s="572"/>
      <c r="C62" s="572"/>
      <c r="D62" s="572"/>
      <c r="E62" s="572"/>
      <c r="F62" s="572"/>
      <c r="G62" s="572"/>
      <c r="H62" s="572"/>
      <c r="I62" s="572"/>
      <c r="J62" s="572"/>
      <c r="K62" s="572"/>
      <c r="L62" s="572"/>
      <c r="M62" s="41"/>
      <c r="N62" s="41"/>
      <c r="O62" s="43"/>
      <c r="P62" s="41"/>
      <c r="Q62" s="41"/>
      <c r="R62" s="41"/>
      <c r="S62" s="40"/>
    </row>
    <row r="63" spans="1:23" s="41" customFormat="1" ht="8.25" customHeight="1" thickBot="1" x14ac:dyDescent="0.3">
      <c r="A63" s="77"/>
      <c r="B63" s="78"/>
      <c r="C63" s="78"/>
      <c r="D63" s="78"/>
      <c r="E63" s="78"/>
      <c r="F63" s="78"/>
      <c r="G63" s="78"/>
      <c r="H63" s="78"/>
      <c r="I63" s="78"/>
      <c r="J63" s="79"/>
      <c r="K63" s="79"/>
      <c r="L63" s="80"/>
      <c r="M63" s="80"/>
      <c r="O63" s="43"/>
      <c r="W63" s="40"/>
    </row>
    <row r="64" spans="1:23" s="41" customFormat="1" ht="6.75" customHeight="1" x14ac:dyDescent="0.25">
      <c r="A64" s="39"/>
      <c r="B64" s="68"/>
      <c r="C64" s="68"/>
      <c r="D64" s="68"/>
      <c r="E64" s="68"/>
      <c r="F64" s="68"/>
      <c r="G64" s="68"/>
      <c r="H64" s="68"/>
      <c r="I64" s="68"/>
      <c r="J64" s="69"/>
      <c r="K64" s="69"/>
      <c r="O64" s="43"/>
      <c r="W64" s="40"/>
    </row>
    <row r="65" spans="2:19" ht="13.8" x14ac:dyDescent="0.25">
      <c r="B65" s="48"/>
      <c r="L65" s="41"/>
      <c r="M65" s="41"/>
      <c r="N65" s="41"/>
      <c r="O65" s="43"/>
      <c r="P65" s="41"/>
      <c r="Q65" s="41"/>
      <c r="R65" s="41"/>
      <c r="S65" s="59"/>
    </row>
    <row r="66" spans="2:19" ht="11.25" customHeight="1" x14ac:dyDescent="0.25">
      <c r="B66" s="48"/>
      <c r="L66" s="41"/>
      <c r="M66" s="41"/>
      <c r="N66" s="41"/>
      <c r="O66" s="43"/>
      <c r="P66" s="41"/>
      <c r="Q66" s="41"/>
      <c r="R66" s="41"/>
      <c r="S66" s="59"/>
    </row>
    <row r="67" spans="2:19" ht="13.8" x14ac:dyDescent="0.25">
      <c r="L67" s="41"/>
      <c r="M67" s="41"/>
      <c r="N67" s="41"/>
      <c r="O67" s="43"/>
      <c r="P67" s="41"/>
      <c r="Q67" s="41"/>
      <c r="R67" s="41"/>
      <c r="S67" s="40"/>
    </row>
    <row r="68" spans="2:19" ht="13.8" x14ac:dyDescent="0.25">
      <c r="L68" s="41"/>
      <c r="M68" s="41"/>
      <c r="N68" s="41"/>
      <c r="O68" s="43"/>
      <c r="P68" s="41"/>
      <c r="Q68" s="41"/>
      <c r="R68" s="41"/>
      <c r="S68" s="40"/>
    </row>
    <row r="69" spans="2:19" ht="13.8" x14ac:dyDescent="0.25">
      <c r="O69" s="41"/>
      <c r="P69" s="41"/>
      <c r="Q69" s="41"/>
      <c r="R69" s="41"/>
      <c r="S69" s="40"/>
    </row>
    <row r="70" spans="2:19" ht="13.8" x14ac:dyDescent="0.25">
      <c r="O70" s="41"/>
      <c r="P70" s="41"/>
      <c r="Q70" s="41"/>
      <c r="R70" s="41"/>
      <c r="S70" s="40"/>
    </row>
    <row r="71" spans="2:19" ht="13.8" x14ac:dyDescent="0.25">
      <c r="O71" s="41"/>
      <c r="P71" s="41"/>
      <c r="Q71" s="41"/>
      <c r="R71" s="41"/>
      <c r="S71" s="40"/>
    </row>
    <row r="72" spans="2:19" ht="15.6" x14ac:dyDescent="0.3">
      <c r="O72" s="71"/>
      <c r="P72" s="71"/>
      <c r="Q72" s="71"/>
      <c r="R72" s="71"/>
      <c r="S72" s="72"/>
    </row>
    <row r="73" spans="2:19" ht="15.6" x14ac:dyDescent="0.3">
      <c r="O73" s="71"/>
      <c r="P73" s="71"/>
      <c r="Q73" s="71"/>
      <c r="R73" s="71"/>
      <c r="S73" s="72"/>
    </row>
    <row r="74" spans="2:19" ht="15.6" x14ac:dyDescent="0.3">
      <c r="O74" s="71"/>
      <c r="P74" s="71"/>
      <c r="Q74" s="71"/>
      <c r="R74" s="71"/>
      <c r="S74" s="72"/>
    </row>
    <row r="75" spans="2:19" ht="15.6" x14ac:dyDescent="0.3">
      <c r="O75" s="71"/>
      <c r="P75" s="71"/>
      <c r="Q75" s="71"/>
      <c r="R75" s="71"/>
      <c r="S75" s="72"/>
    </row>
  </sheetData>
  <mergeCells count="7">
    <mergeCell ref="B23:L49"/>
    <mergeCell ref="I56:K56"/>
    <mergeCell ref="I57:K57"/>
    <mergeCell ref="B62:L62"/>
    <mergeCell ref="I53:K53"/>
    <mergeCell ref="I54:K54"/>
    <mergeCell ref="I55:K55"/>
  </mergeCells>
  <dataValidations count="3">
    <dataValidation type="list" allowBlank="1" showInputMessage="1" showErrorMessage="1" sqref="I53:K57">
      <formula1>$O$3:$O$21</formula1>
    </dataValidation>
    <dataValidation allowBlank="1" showErrorMessage="1" promptTitle="Do not change" sqref="B52"/>
    <dataValidation type="list" allowBlank="1" showInputMessage="1" showErrorMessage="1" sqref="G53:G57">
      <formula1>$O$17:$O$19</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51"/>
  <sheetViews>
    <sheetView showGridLines="0"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0</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3206862</v>
      </c>
      <c r="F5" s="18">
        <v>3289143</v>
      </c>
      <c r="G5" s="18">
        <v>3305426.72</v>
      </c>
      <c r="I5" s="86" t="s">
        <v>38</v>
      </c>
      <c r="J5" s="73"/>
      <c r="K5" s="73"/>
      <c r="L5" s="73">
        <v>-100000</v>
      </c>
      <c r="O5" s="15" t="s">
        <v>4</v>
      </c>
      <c r="S5" s="10">
        <f t="shared" si="0"/>
        <v>0</v>
      </c>
    </row>
    <row r="6" spans="1:19" x14ac:dyDescent="0.25">
      <c r="B6" s="16" t="s">
        <v>7</v>
      </c>
      <c r="C6" s="17"/>
      <c r="D6" s="12"/>
      <c r="E6" s="18">
        <v>2464788</v>
      </c>
      <c r="F6" s="18">
        <v>2736269</v>
      </c>
      <c r="G6" s="18">
        <f>+G5-552874</f>
        <v>2752552.72</v>
      </c>
      <c r="I6" s="87" t="s">
        <v>39</v>
      </c>
      <c r="J6" s="18">
        <v>-152000</v>
      </c>
      <c r="K6" s="18">
        <v>0</v>
      </c>
      <c r="L6" s="18">
        <v>137500</v>
      </c>
      <c r="O6" s="15" t="s">
        <v>6</v>
      </c>
      <c r="S6" s="10">
        <f t="shared" si="0"/>
        <v>0</v>
      </c>
    </row>
    <row r="7" spans="1:19" x14ac:dyDescent="0.25">
      <c r="B7" s="21" t="s">
        <v>9</v>
      </c>
      <c r="C7" s="22"/>
      <c r="D7" s="23"/>
      <c r="E7" s="24">
        <v>2724103</v>
      </c>
      <c r="F7" s="24">
        <v>2705990</v>
      </c>
      <c r="G7" s="24">
        <f>G6-L6</f>
        <v>2615052.7200000002</v>
      </c>
      <c r="I7" s="87" t="s">
        <v>40</v>
      </c>
      <c r="J7" s="18">
        <v>-154000</v>
      </c>
      <c r="K7" s="18">
        <v>0</v>
      </c>
      <c r="L7" s="18">
        <f>+L44</f>
        <v>160000</v>
      </c>
      <c r="O7" s="15" t="s">
        <v>8</v>
      </c>
      <c r="P7" s="20"/>
      <c r="S7" s="10">
        <f t="shared" si="0"/>
        <v>0</v>
      </c>
    </row>
    <row r="8" spans="1:19" x14ac:dyDescent="0.25">
      <c r="B8" s="26" t="s">
        <v>11</v>
      </c>
      <c r="C8" s="27"/>
      <c r="D8" s="28"/>
      <c r="E8" s="29">
        <v>-259315</v>
      </c>
      <c r="F8" s="29">
        <v>30279</v>
      </c>
      <c r="G8" s="29">
        <f>G6-G7</f>
        <v>137500</v>
      </c>
      <c r="I8" s="88" t="s">
        <v>43</v>
      </c>
      <c r="J8" s="74">
        <f>E8</f>
        <v>-259315</v>
      </c>
      <c r="K8" s="74">
        <f>F8</f>
        <v>30279</v>
      </c>
      <c r="L8" s="74"/>
      <c r="O8" s="15" t="s">
        <v>10</v>
      </c>
      <c r="P8" s="25"/>
      <c r="S8" s="10">
        <f t="shared" si="0"/>
        <v>0</v>
      </c>
    </row>
    <row r="9" spans="1:19" x14ac:dyDescent="0.25">
      <c r="B9" s="32" t="s">
        <v>37</v>
      </c>
      <c r="C9" s="33"/>
      <c r="D9" s="23"/>
      <c r="E9" s="34">
        <f>IF(ISERROR(IF(E8=0,"",(E8/$E$5))),"",(IF(E8=0,"",(E8/$E$5))))</f>
        <v>-8.0862537895300762E-2</v>
      </c>
      <c r="F9" s="34">
        <f>IF(ISERROR(IF(F8=0,"",(F8/$F$5))),"",(IF(F8=0,"",(F8/$F$5))))</f>
        <v>9.2057414347749555E-3</v>
      </c>
      <c r="G9" s="34">
        <f>IF(ISERROR(IF(G8=0,"",(G8/$G$5))),"",(IF(G8=0,"",(G8/$G$5))))</f>
        <v>4.1598259966870478E-2</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160000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160000</v>
      </c>
    </row>
    <row r="23" spans="1:19" s="41" customFormat="1" ht="15" customHeight="1" x14ac:dyDescent="0.25">
      <c r="A23" s="39"/>
      <c r="B23" s="571" t="s">
        <v>374</v>
      </c>
      <c r="C23" s="571"/>
      <c r="D23" s="571"/>
      <c r="E23" s="571"/>
      <c r="F23" s="571"/>
      <c r="G23" s="571"/>
      <c r="H23" s="571"/>
      <c r="I23" s="571"/>
      <c r="J23" s="571"/>
      <c r="K23" s="571"/>
      <c r="L23" s="571"/>
      <c r="O23" s="15"/>
      <c r="P23" s="12"/>
      <c r="Q23" s="12"/>
      <c r="R23" s="12"/>
      <c r="S23" s="10"/>
    </row>
    <row r="24" spans="1:19" s="41" customFormat="1" ht="15" customHeight="1" x14ac:dyDescent="0.25">
      <c r="A24" s="39"/>
      <c r="B24" s="571"/>
      <c r="C24" s="571"/>
      <c r="D24" s="571"/>
      <c r="E24" s="571"/>
      <c r="F24" s="571"/>
      <c r="G24" s="571"/>
      <c r="H24" s="571"/>
      <c r="I24" s="571"/>
      <c r="J24" s="571"/>
      <c r="K24" s="571"/>
      <c r="L24" s="571"/>
      <c r="O24" s="15"/>
      <c r="P24" s="12"/>
      <c r="Q24" s="12"/>
      <c r="R24" s="12"/>
      <c r="S24" s="10"/>
    </row>
    <row r="25" spans="1:19" s="41" customFormat="1" ht="15" customHeight="1" x14ac:dyDescent="0.25">
      <c r="A25" s="39"/>
      <c r="B25" s="571"/>
      <c r="C25" s="571"/>
      <c r="D25" s="571"/>
      <c r="E25" s="571"/>
      <c r="F25" s="571"/>
      <c r="G25" s="571"/>
      <c r="H25" s="571"/>
      <c r="I25" s="571"/>
      <c r="J25" s="571"/>
      <c r="K25" s="571"/>
      <c r="L25" s="571"/>
      <c r="O25" s="15"/>
      <c r="P25" s="12"/>
      <c r="Q25" s="12"/>
      <c r="R25" s="12"/>
      <c r="S25" s="10"/>
    </row>
    <row r="26" spans="1:19" s="41" customFormat="1" ht="15" customHeight="1" x14ac:dyDescent="0.25">
      <c r="A26" s="39"/>
      <c r="B26" s="571"/>
      <c r="C26" s="571"/>
      <c r="D26" s="571"/>
      <c r="E26" s="571"/>
      <c r="F26" s="571"/>
      <c r="G26" s="571"/>
      <c r="H26" s="571"/>
      <c r="I26" s="571"/>
      <c r="J26" s="571"/>
      <c r="K26" s="571"/>
      <c r="L26" s="571"/>
      <c r="O26" s="15"/>
      <c r="P26" s="12"/>
      <c r="Q26" s="12"/>
      <c r="R26" s="12"/>
      <c r="S26" s="10"/>
    </row>
    <row r="27" spans="1:19" s="41" customFormat="1" ht="15" customHeight="1" x14ac:dyDescent="0.25">
      <c r="A27" s="39"/>
      <c r="B27" s="571"/>
      <c r="C27" s="571"/>
      <c r="D27" s="571"/>
      <c r="E27" s="571"/>
      <c r="F27" s="571"/>
      <c r="G27" s="571"/>
      <c r="H27" s="571"/>
      <c r="I27" s="571"/>
      <c r="J27" s="571"/>
      <c r="K27" s="571"/>
      <c r="L27" s="571"/>
      <c r="O27" s="15"/>
      <c r="P27" s="12"/>
      <c r="Q27" s="12"/>
      <c r="R27" s="12"/>
      <c r="S27" s="10"/>
    </row>
    <row r="28" spans="1:19" s="41" customFormat="1" ht="15" customHeight="1" x14ac:dyDescent="0.25">
      <c r="A28" s="39"/>
      <c r="B28" s="571"/>
      <c r="C28" s="571"/>
      <c r="D28" s="571"/>
      <c r="E28" s="571"/>
      <c r="F28" s="571"/>
      <c r="G28" s="571"/>
      <c r="H28" s="571"/>
      <c r="I28" s="571"/>
      <c r="J28" s="571"/>
      <c r="K28" s="571"/>
      <c r="L28" s="571"/>
      <c r="O28" s="15"/>
      <c r="P28" s="12"/>
      <c r="Q28" s="12"/>
      <c r="R28" s="12"/>
      <c r="S28" s="10"/>
    </row>
    <row r="29" spans="1:19" s="41" customFormat="1" ht="15" customHeight="1" x14ac:dyDescent="0.25">
      <c r="A29" s="39"/>
      <c r="B29" s="571"/>
      <c r="C29" s="571"/>
      <c r="D29" s="571"/>
      <c r="E29" s="571"/>
      <c r="F29" s="571"/>
      <c r="G29" s="571"/>
      <c r="H29" s="571"/>
      <c r="I29" s="571"/>
      <c r="J29" s="571"/>
      <c r="K29" s="571"/>
      <c r="L29" s="571"/>
      <c r="O29" s="15"/>
      <c r="P29" s="12"/>
      <c r="Q29" s="12"/>
      <c r="R29" s="12"/>
      <c r="S29" s="10"/>
    </row>
    <row r="30" spans="1:19" s="41" customFormat="1" ht="15" customHeight="1" x14ac:dyDescent="0.25">
      <c r="A30" s="39"/>
      <c r="B30" s="571"/>
      <c r="C30" s="571"/>
      <c r="D30" s="571"/>
      <c r="E30" s="571"/>
      <c r="F30" s="571"/>
      <c r="G30" s="571"/>
      <c r="H30" s="571"/>
      <c r="I30" s="571"/>
      <c r="J30" s="571"/>
      <c r="K30" s="571"/>
      <c r="L30" s="571"/>
      <c r="O30" s="15"/>
      <c r="P30" s="12"/>
      <c r="Q30" s="12"/>
      <c r="R30" s="12"/>
      <c r="S30" s="10"/>
    </row>
    <row r="31" spans="1:19" s="41" customFormat="1" ht="15" customHeight="1" x14ac:dyDescent="0.25">
      <c r="A31" s="39"/>
      <c r="B31" s="571"/>
      <c r="C31" s="571"/>
      <c r="D31" s="571"/>
      <c r="E31" s="571"/>
      <c r="F31" s="571"/>
      <c r="G31" s="571"/>
      <c r="H31" s="571"/>
      <c r="I31" s="571"/>
      <c r="J31" s="571"/>
      <c r="K31" s="571"/>
      <c r="L31" s="571"/>
      <c r="O31" s="15"/>
      <c r="P31" s="12"/>
      <c r="Q31" s="12"/>
      <c r="R31" s="12"/>
      <c r="S31" s="10"/>
    </row>
    <row r="32" spans="1:19" s="41" customFormat="1" ht="15" customHeight="1" x14ac:dyDescent="0.25">
      <c r="A32" s="39"/>
      <c r="B32" s="571"/>
      <c r="C32" s="571"/>
      <c r="D32" s="571"/>
      <c r="E32" s="571"/>
      <c r="F32" s="571"/>
      <c r="G32" s="571"/>
      <c r="H32" s="571"/>
      <c r="I32" s="571"/>
      <c r="J32" s="571"/>
      <c r="K32" s="571"/>
      <c r="L32" s="571"/>
      <c r="O32" s="15"/>
      <c r="P32" s="12"/>
      <c r="Q32" s="12"/>
      <c r="R32" s="12"/>
      <c r="S32" s="10"/>
    </row>
    <row r="33" spans="1:23" s="41" customFormat="1" ht="15" customHeight="1" x14ac:dyDescent="0.25">
      <c r="A33" s="39"/>
      <c r="B33" s="571"/>
      <c r="C33" s="571"/>
      <c r="D33" s="571"/>
      <c r="E33" s="571"/>
      <c r="F33" s="571"/>
      <c r="G33" s="571"/>
      <c r="H33" s="571"/>
      <c r="I33" s="571"/>
      <c r="J33" s="571"/>
      <c r="K33" s="571"/>
      <c r="L33" s="571"/>
      <c r="O33" s="15"/>
      <c r="P33" s="12"/>
      <c r="Q33" s="12"/>
      <c r="R33" s="12"/>
      <c r="S33" s="10"/>
    </row>
    <row r="34" spans="1:23" s="41" customFormat="1" ht="13.8" x14ac:dyDescent="0.25">
      <c r="A34" s="39"/>
      <c r="B34" s="571"/>
      <c r="C34" s="571"/>
      <c r="D34" s="571"/>
      <c r="E34" s="571"/>
      <c r="F34" s="571"/>
      <c r="G34" s="571"/>
      <c r="H34" s="571"/>
      <c r="I34" s="571"/>
      <c r="J34" s="571"/>
      <c r="K34" s="571"/>
      <c r="L34" s="571"/>
      <c r="M34" s="42"/>
      <c r="N34" s="42"/>
      <c r="O34" s="42"/>
      <c r="P34" s="42"/>
      <c r="Q34" s="42"/>
      <c r="R34" s="42"/>
      <c r="S34" s="42"/>
    </row>
    <row r="35" spans="1:23" s="41" customFormat="1" ht="13.8" x14ac:dyDescent="0.25">
      <c r="A35" s="39"/>
      <c r="B35" s="571"/>
      <c r="C35" s="571"/>
      <c r="D35" s="571"/>
      <c r="E35" s="571"/>
      <c r="F35" s="571"/>
      <c r="G35" s="571"/>
      <c r="H35" s="571"/>
      <c r="I35" s="571"/>
      <c r="J35" s="571"/>
      <c r="K35" s="571"/>
      <c r="L35" s="571"/>
      <c r="M35" s="254"/>
      <c r="N35" s="254"/>
      <c r="O35" s="254"/>
      <c r="P35" s="254"/>
      <c r="Q35" s="254"/>
      <c r="R35" s="254"/>
      <c r="S35" s="254"/>
    </row>
    <row r="36" spans="1:23" s="41" customFormat="1" ht="13.8" x14ac:dyDescent="0.25">
      <c r="A36" s="39"/>
      <c r="B36" s="571"/>
      <c r="C36" s="571"/>
      <c r="D36" s="571"/>
      <c r="E36" s="571"/>
      <c r="F36" s="571"/>
      <c r="G36" s="571"/>
      <c r="H36" s="571"/>
      <c r="I36" s="571"/>
      <c r="J36" s="571"/>
      <c r="K36" s="571"/>
      <c r="L36" s="571"/>
      <c r="M36" s="254"/>
      <c r="N36" s="254"/>
      <c r="O36" s="254"/>
      <c r="P36" s="254"/>
      <c r="Q36" s="254"/>
      <c r="R36" s="254"/>
      <c r="S36" s="254"/>
    </row>
    <row r="37" spans="1:23" s="41" customFormat="1" ht="13.8" x14ac:dyDescent="0.25">
      <c r="A37" s="75"/>
      <c r="B37" s="571"/>
      <c r="C37" s="571"/>
      <c r="D37" s="571"/>
      <c r="E37" s="571"/>
      <c r="F37" s="571"/>
      <c r="G37" s="571"/>
      <c r="H37" s="571"/>
      <c r="I37" s="571"/>
      <c r="J37" s="571"/>
      <c r="K37" s="571"/>
      <c r="L37" s="571"/>
      <c r="O37" s="15"/>
      <c r="P37" s="12"/>
      <c r="Q37" s="12"/>
      <c r="R37" s="12"/>
      <c r="S37" s="10"/>
    </row>
    <row r="38" spans="1:23" s="41" customFormat="1" ht="5.25" customHeight="1" x14ac:dyDescent="0.25">
      <c r="A38" s="44"/>
      <c r="B38" s="44"/>
      <c r="C38" s="44"/>
      <c r="D38" s="44"/>
      <c r="E38" s="44"/>
      <c r="F38" s="44"/>
      <c r="G38" s="44"/>
      <c r="H38" s="45"/>
      <c r="I38" s="45"/>
      <c r="J38" s="46"/>
      <c r="K38" s="47"/>
      <c r="L38" s="47"/>
      <c r="M38" s="47"/>
      <c r="O38" s="15"/>
      <c r="P38" s="12"/>
      <c r="Q38" s="12"/>
      <c r="R38" s="12"/>
      <c r="S38" s="37"/>
    </row>
    <row r="39" spans="1:23" s="41" customFormat="1" ht="13.8" x14ac:dyDescent="0.25">
      <c r="A39" s="43"/>
      <c r="B39" s="48" t="s">
        <v>26</v>
      </c>
      <c r="D39" s="42"/>
      <c r="E39" s="42"/>
      <c r="F39" s="42"/>
      <c r="G39" s="42"/>
      <c r="H39" s="49"/>
      <c r="I39" s="50"/>
      <c r="J39" s="51"/>
      <c r="K39" s="51"/>
      <c r="O39" s="15"/>
      <c r="P39" s="12"/>
      <c r="Q39" s="12"/>
      <c r="R39" s="12"/>
      <c r="S39" s="37"/>
    </row>
    <row r="40" spans="1:23" s="41" customFormat="1" ht="13.8" x14ac:dyDescent="0.25">
      <c r="A40" s="43"/>
      <c r="B40" s="52"/>
      <c r="D40" s="42"/>
      <c r="E40" s="42"/>
      <c r="F40" s="42"/>
      <c r="G40" s="42"/>
      <c r="H40" s="53"/>
      <c r="I40" s="53" t="s">
        <v>27</v>
      </c>
      <c r="J40" s="42"/>
      <c r="L40" s="54" t="s">
        <v>28</v>
      </c>
      <c r="O40" s="15"/>
      <c r="P40" s="12"/>
      <c r="Q40" s="12"/>
      <c r="R40" s="12"/>
      <c r="S40" s="37"/>
    </row>
    <row r="41" spans="1:23" s="41" customFormat="1" ht="13.8" x14ac:dyDescent="0.25">
      <c r="A41" s="43"/>
      <c r="B41" s="55" t="s">
        <v>29</v>
      </c>
      <c r="C41" s="260" t="s">
        <v>212</v>
      </c>
      <c r="D41" s="497"/>
      <c r="E41" s="497"/>
      <c r="F41" s="497"/>
      <c r="G41" s="497"/>
      <c r="H41" s="497"/>
      <c r="I41" s="496" t="s">
        <v>19</v>
      </c>
      <c r="J41" s="264"/>
      <c r="K41" s="264"/>
      <c r="L41" s="282">
        <v>160000</v>
      </c>
      <c r="M41" s="330" t="s">
        <v>198</v>
      </c>
      <c r="N41" s="330"/>
      <c r="O41" s="170"/>
      <c r="R41" s="173"/>
      <c r="S41" s="40"/>
    </row>
    <row r="42" spans="1:23" s="41" customFormat="1" ht="13.8" x14ac:dyDescent="0.25">
      <c r="A42" s="43"/>
      <c r="B42" s="172" t="s">
        <v>30</v>
      </c>
      <c r="C42" s="582" t="s">
        <v>375</v>
      </c>
      <c r="D42" s="583"/>
      <c r="E42" s="583"/>
      <c r="F42" s="583"/>
      <c r="G42" s="583"/>
      <c r="H42" s="261"/>
      <c r="I42" s="496" t="s">
        <v>17</v>
      </c>
      <c r="J42" s="495"/>
      <c r="K42" s="495"/>
      <c r="L42" s="283">
        <v>45000</v>
      </c>
      <c r="M42" s="331" t="s">
        <v>198</v>
      </c>
      <c r="N42" s="331"/>
      <c r="O42" s="43"/>
      <c r="S42" s="40"/>
    </row>
    <row r="43" spans="1:23" s="41" customFormat="1" ht="13.8" x14ac:dyDescent="0.25">
      <c r="A43" s="43"/>
      <c r="B43" s="55" t="s">
        <v>31</v>
      </c>
      <c r="C43" s="264" t="s">
        <v>352</v>
      </c>
      <c r="D43" s="497"/>
      <c r="E43" s="497"/>
      <c r="F43" s="497"/>
      <c r="G43" s="261"/>
      <c r="H43" s="261"/>
      <c r="I43" s="495" t="s">
        <v>17</v>
      </c>
      <c r="J43" s="495"/>
      <c r="K43" s="495"/>
      <c r="L43" s="284">
        <v>-45000</v>
      </c>
      <c r="M43" s="331" t="s">
        <v>198</v>
      </c>
      <c r="O43" s="43"/>
      <c r="S43" s="40"/>
    </row>
    <row r="44" spans="1:23" s="62" customFormat="1" ht="14.4" thickBot="1" x14ac:dyDescent="0.3">
      <c r="A44" s="60"/>
      <c r="B44" s="61" t="s">
        <v>184</v>
      </c>
      <c r="E44" s="52"/>
      <c r="F44" s="52"/>
      <c r="G44" s="63"/>
      <c r="H44" s="51"/>
      <c r="I44" s="63"/>
      <c r="J44" s="42"/>
      <c r="L44" s="205">
        <f>SUM(L41:L43)</f>
        <v>160000</v>
      </c>
      <c r="M44" s="41"/>
      <c r="N44" s="41"/>
      <c r="O44" s="43"/>
      <c r="P44" s="41"/>
      <c r="Q44" s="41"/>
      <c r="R44" s="41"/>
      <c r="S44" s="40"/>
    </row>
    <row r="45" spans="1:23" s="41" customFormat="1" ht="8.25" customHeight="1" thickTop="1" x14ac:dyDescent="0.25">
      <c r="A45" s="65"/>
      <c r="B45" s="66"/>
      <c r="C45" s="66"/>
      <c r="D45" s="66"/>
      <c r="E45" s="66"/>
      <c r="F45" s="66"/>
      <c r="G45" s="66"/>
      <c r="H45" s="66"/>
      <c r="I45" s="66"/>
      <c r="J45" s="67"/>
      <c r="K45" s="67"/>
      <c r="L45" s="47"/>
      <c r="M45" s="47"/>
      <c r="O45" s="43"/>
      <c r="W45" s="40"/>
    </row>
    <row r="46" spans="1:23" s="41" customFormat="1" ht="3.75" customHeight="1" x14ac:dyDescent="0.25">
      <c r="A46" s="39"/>
      <c r="B46" s="68"/>
      <c r="C46" s="68"/>
      <c r="D46" s="68"/>
      <c r="E46" s="68"/>
      <c r="F46" s="68"/>
      <c r="G46" s="68"/>
      <c r="H46" s="68"/>
      <c r="I46" s="68"/>
      <c r="J46" s="69"/>
      <c r="K46" s="69"/>
      <c r="O46" s="43"/>
      <c r="W46" s="40"/>
    </row>
    <row r="47" spans="1:23" s="41" customFormat="1" ht="13.8" x14ac:dyDescent="0.25">
      <c r="A47" s="43"/>
      <c r="B47" s="6" t="s">
        <v>34</v>
      </c>
      <c r="C47" s="70"/>
      <c r="D47" s="70"/>
      <c r="E47" s="70"/>
      <c r="F47" s="70"/>
      <c r="G47" s="70"/>
      <c r="H47" s="70"/>
      <c r="I47" s="70"/>
      <c r="J47" s="76"/>
      <c r="K47" s="76"/>
      <c r="O47" s="43"/>
      <c r="W47" s="40"/>
    </row>
    <row r="48" spans="1:23" s="41" customFormat="1" ht="13.8" x14ac:dyDescent="0.25">
      <c r="A48" s="43"/>
      <c r="B48" s="572" t="s">
        <v>353</v>
      </c>
      <c r="C48" s="572"/>
      <c r="D48" s="572"/>
      <c r="E48" s="572"/>
      <c r="F48" s="572"/>
      <c r="G48" s="572"/>
      <c r="H48" s="572"/>
      <c r="I48" s="572"/>
      <c r="J48" s="572"/>
      <c r="K48" s="572"/>
      <c r="L48" s="572"/>
      <c r="O48" s="43"/>
      <c r="W48" s="40"/>
    </row>
    <row r="49" spans="1:23" s="41" customFormat="1" ht="14.25" customHeight="1" x14ac:dyDescent="0.25">
      <c r="A49" s="43"/>
      <c r="B49" s="572"/>
      <c r="C49" s="572"/>
      <c r="D49" s="572"/>
      <c r="E49" s="572"/>
      <c r="F49" s="572"/>
      <c r="G49" s="572"/>
      <c r="H49" s="572"/>
      <c r="I49" s="572"/>
      <c r="J49" s="572"/>
      <c r="K49" s="572"/>
      <c r="L49" s="572"/>
      <c r="M49" s="174"/>
      <c r="N49" s="174"/>
      <c r="O49" s="174"/>
      <c r="P49" s="174"/>
      <c r="Q49" s="174"/>
      <c r="R49" s="174"/>
      <c r="S49" s="174"/>
      <c r="W49" s="40"/>
    </row>
    <row r="50" spans="1:23" s="41" customFormat="1" ht="13.8" x14ac:dyDescent="0.25">
      <c r="A50" s="39"/>
      <c r="B50" s="572"/>
      <c r="C50" s="572"/>
      <c r="D50" s="572"/>
      <c r="E50" s="572"/>
      <c r="F50" s="572"/>
      <c r="G50" s="572"/>
      <c r="H50" s="572"/>
      <c r="I50" s="572"/>
      <c r="J50" s="572"/>
      <c r="K50" s="572"/>
      <c r="L50" s="572"/>
      <c r="O50" s="43"/>
      <c r="W50" s="40"/>
    </row>
    <row r="51" spans="1:23" ht="11.25" customHeight="1" x14ac:dyDescent="0.25">
      <c r="A51" s="191"/>
      <c r="B51" s="198"/>
      <c r="C51" s="191"/>
      <c r="D51" s="191"/>
      <c r="E51" s="191"/>
      <c r="F51" s="191"/>
      <c r="G51" s="191"/>
      <c r="H51" s="191"/>
      <c r="I51" s="191"/>
      <c r="J51" s="191"/>
      <c r="K51" s="191"/>
      <c r="L51" s="192"/>
      <c r="M51" s="192"/>
      <c r="N51" s="41"/>
      <c r="O51" s="43"/>
      <c r="P51" s="41"/>
      <c r="Q51" s="41"/>
      <c r="R51" s="41"/>
      <c r="S51" s="59"/>
    </row>
  </sheetData>
  <mergeCells count="3">
    <mergeCell ref="C42:G42"/>
    <mergeCell ref="B23:L37"/>
    <mergeCell ref="B48:L50"/>
  </mergeCells>
  <dataValidations count="4">
    <dataValidation type="list" allowBlank="1" showInputMessage="1" showErrorMessage="1" sqref="I42:K43">
      <formula1>$O$3:$O$21</formula1>
    </dataValidation>
    <dataValidation type="list" allowBlank="1" showInputMessage="1" showErrorMessage="1" sqref="G43">
      <formula1>$O$17:$O$19</formula1>
    </dataValidation>
    <dataValidation type="list" allowBlank="1" showInputMessage="1" showErrorMessage="1" sqref="I41">
      <formula1>$U$4:$U$22</formula1>
    </dataValidation>
    <dataValidation allowBlank="1" showErrorMessage="1" promptTitle="Do not change" sqref="B40"/>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62"/>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165</v>
      </c>
      <c r="B1" s="2"/>
      <c r="C1" s="2"/>
      <c r="D1" s="2"/>
      <c r="E1" s="2"/>
      <c r="F1" s="2"/>
      <c r="G1" s="2"/>
      <c r="H1" s="2"/>
      <c r="I1" s="2"/>
      <c r="J1" s="2"/>
      <c r="K1" s="2"/>
      <c r="L1" s="2"/>
      <c r="M1" s="2"/>
      <c r="O1" s="4"/>
      <c r="P1" s="4"/>
      <c r="Q1" s="4"/>
      <c r="R1" s="4"/>
      <c r="S1" s="5"/>
      <c r="T1" s="83" t="s">
        <v>234</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10662829</v>
      </c>
      <c r="F5" s="18">
        <v>11244979</v>
      </c>
      <c r="G5" s="18">
        <v>11138755.800000001</v>
      </c>
      <c r="I5" s="86" t="s">
        <v>38</v>
      </c>
      <c r="J5" s="73"/>
      <c r="K5" s="73"/>
      <c r="L5" s="73">
        <v>-377000</v>
      </c>
      <c r="O5" s="15" t="s">
        <v>4</v>
      </c>
      <c r="S5" s="10">
        <f t="shared" si="0"/>
        <v>0</v>
      </c>
    </row>
    <row r="6" spans="1:20" x14ac:dyDescent="0.25">
      <c r="B6" s="16" t="s">
        <v>7</v>
      </c>
      <c r="C6" s="17"/>
      <c r="D6" s="12"/>
      <c r="E6" s="18">
        <v>7902104</v>
      </c>
      <c r="F6" s="18">
        <v>8649979</v>
      </c>
      <c r="G6" s="18">
        <f>+G5-2665472</f>
        <v>8473283.8000000007</v>
      </c>
      <c r="I6" s="87" t="s">
        <v>39</v>
      </c>
      <c r="J6" s="18">
        <v>-210000</v>
      </c>
      <c r="K6" s="18">
        <v>-389000</v>
      </c>
      <c r="L6" s="18">
        <v>-387000</v>
      </c>
      <c r="O6" s="15" t="s">
        <v>6</v>
      </c>
      <c r="S6" s="10">
        <f t="shared" si="0"/>
        <v>0</v>
      </c>
    </row>
    <row r="7" spans="1:20" x14ac:dyDescent="0.25">
      <c r="B7" s="21" t="s">
        <v>9</v>
      </c>
      <c r="C7" s="22"/>
      <c r="D7" s="23"/>
      <c r="E7" s="24">
        <v>7895450</v>
      </c>
      <c r="F7" s="24">
        <v>8709128</v>
      </c>
      <c r="G7" s="24">
        <f>G6-L6</f>
        <v>8860283.8000000007</v>
      </c>
      <c r="I7" s="87" t="s">
        <v>40</v>
      </c>
      <c r="J7" s="18">
        <v>-301000</v>
      </c>
      <c r="K7" s="18">
        <v>-171000</v>
      </c>
      <c r="L7" s="18">
        <f>+L53</f>
        <v>-218500</v>
      </c>
      <c r="O7" s="15" t="s">
        <v>8</v>
      </c>
      <c r="P7" s="20"/>
      <c r="S7" s="10">
        <f t="shared" si="0"/>
        <v>0</v>
      </c>
    </row>
    <row r="8" spans="1:20" x14ac:dyDescent="0.25">
      <c r="B8" s="26" t="s">
        <v>11</v>
      </c>
      <c r="C8" s="27"/>
      <c r="D8" s="28"/>
      <c r="E8" s="29">
        <v>6654</v>
      </c>
      <c r="F8" s="29">
        <v>-59149</v>
      </c>
      <c r="G8" s="29">
        <f>G6-G7</f>
        <v>-387000</v>
      </c>
      <c r="I8" s="88" t="s">
        <v>43</v>
      </c>
      <c r="J8" s="74">
        <f>E8</f>
        <v>6654</v>
      </c>
      <c r="K8" s="74">
        <f>F8</f>
        <v>-59149</v>
      </c>
      <c r="L8" s="74"/>
      <c r="O8" s="15" t="s">
        <v>10</v>
      </c>
      <c r="P8" s="25"/>
      <c r="S8" s="10">
        <f t="shared" si="0"/>
        <v>0</v>
      </c>
    </row>
    <row r="9" spans="1:20" x14ac:dyDescent="0.25">
      <c r="B9" s="32" t="s">
        <v>37</v>
      </c>
      <c r="C9" s="33"/>
      <c r="D9" s="23"/>
      <c r="E9" s="34">
        <f>IF(ISERROR(IF(E8=0,"",(E8/$E$5))),"",(IF(E8=0,"",(E8/$E$5))))</f>
        <v>6.24037016817957E-4</v>
      </c>
      <c r="F9" s="34">
        <f>IF(ISERROR(IF(F8=0,"",(F8/$F$5))),"",(IF(F8=0,"",(F8/$F$5))))</f>
        <v>-5.2600365016244139E-3</v>
      </c>
      <c r="G9" s="34">
        <f>IF(ISERROR(IF(G8=0,"",(G8/$G$5))),"",(IF(G8=0,"",(G8/$G$5))))</f>
        <v>-3.4743557265166002E-2</v>
      </c>
      <c r="I9" s="83" t="s">
        <v>42</v>
      </c>
      <c r="O9" s="15" t="s">
        <v>12</v>
      </c>
      <c r="P9" s="30"/>
      <c r="Q9" s="19"/>
      <c r="R9" s="31"/>
      <c r="S9" s="10">
        <f t="shared" si="0"/>
        <v>0</v>
      </c>
    </row>
    <row r="10" spans="1:20" x14ac:dyDescent="0.25">
      <c r="O10" s="15" t="s">
        <v>13</v>
      </c>
      <c r="P10" s="35"/>
      <c r="Q10" s="19"/>
      <c r="S10" s="10">
        <f t="shared" si="0"/>
        <v>336000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-61000</v>
      </c>
    </row>
    <row r="15" spans="1:20" x14ac:dyDescent="0.25">
      <c r="O15" s="15" t="s">
        <v>18</v>
      </c>
      <c r="P15" s="36"/>
      <c r="Q15" s="36"/>
      <c r="S15" s="10">
        <f t="shared" si="0"/>
        <v>0</v>
      </c>
    </row>
    <row r="16" spans="1:20" x14ac:dyDescent="0.25">
      <c r="O16" s="15" t="s">
        <v>19</v>
      </c>
      <c r="P16" s="36"/>
      <c r="Q16" s="36"/>
      <c r="S16" s="10">
        <f t="shared" si="0"/>
        <v>21500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-515000</v>
      </c>
    </row>
    <row r="22" spans="1:19" s="41" customFormat="1" ht="13.8" x14ac:dyDescent="0.25">
      <c r="A22" s="39"/>
      <c r="B22" s="6" t="s">
        <v>25</v>
      </c>
      <c r="C22" s="6"/>
      <c r="D22" s="6"/>
      <c r="E22" s="6"/>
      <c r="F22" s="6"/>
      <c r="G22" s="6"/>
      <c r="H22" s="40"/>
      <c r="I22" s="40"/>
      <c r="K22" s="42"/>
      <c r="O22" s="15" t="s">
        <v>44</v>
      </c>
      <c r="P22" s="12"/>
      <c r="Q22" s="12"/>
      <c r="R22" s="12"/>
      <c r="S22" s="37">
        <f>SUM(S3:S21)</f>
        <v>-218500</v>
      </c>
    </row>
    <row r="23" spans="1:19" s="41" customFormat="1" ht="15" customHeight="1" x14ac:dyDescent="0.25">
      <c r="A23" s="39"/>
      <c r="B23" s="571" t="s">
        <v>408</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B26" s="571"/>
      <c r="C26" s="571"/>
      <c r="D26" s="571"/>
      <c r="E26" s="571"/>
      <c r="F26" s="571"/>
      <c r="G26" s="571"/>
      <c r="H26" s="571"/>
      <c r="I26" s="571"/>
      <c r="J26" s="571"/>
      <c r="K26" s="571"/>
      <c r="L26" s="571"/>
      <c r="O26" s="15"/>
      <c r="P26" s="12"/>
      <c r="Q26" s="12"/>
      <c r="R26" s="12"/>
      <c r="S26" s="10"/>
    </row>
    <row r="27" spans="1:19" s="41" customFormat="1" ht="15.75" customHeight="1" x14ac:dyDescent="0.25">
      <c r="A27" s="39"/>
      <c r="B27" s="571"/>
      <c r="C27" s="571"/>
      <c r="D27" s="571"/>
      <c r="E27" s="571"/>
      <c r="F27" s="571"/>
      <c r="G27" s="571"/>
      <c r="H27" s="571"/>
      <c r="I27" s="571"/>
      <c r="J27" s="571"/>
      <c r="K27" s="571"/>
      <c r="L27" s="571"/>
      <c r="O27" s="15"/>
      <c r="P27" s="12"/>
      <c r="Q27" s="12"/>
      <c r="R27" s="12"/>
      <c r="S27" s="10"/>
    </row>
    <row r="28" spans="1:19" s="41" customFormat="1" ht="15.75" customHeight="1" x14ac:dyDescent="0.25">
      <c r="A28" s="39"/>
      <c r="B28" s="571"/>
      <c r="C28" s="571"/>
      <c r="D28" s="571"/>
      <c r="E28" s="571"/>
      <c r="F28" s="571"/>
      <c r="G28" s="571"/>
      <c r="H28" s="571"/>
      <c r="I28" s="571"/>
      <c r="J28" s="571"/>
      <c r="K28" s="571"/>
      <c r="L28" s="571"/>
      <c r="O28" s="15"/>
      <c r="P28" s="12"/>
      <c r="Q28" s="12"/>
      <c r="R28" s="12"/>
      <c r="S28" s="10"/>
    </row>
    <row r="29" spans="1:19" s="41" customFormat="1" ht="13.8" x14ac:dyDescent="0.25">
      <c r="A29" s="39"/>
      <c r="B29" s="571"/>
      <c r="C29" s="571"/>
      <c r="D29" s="571"/>
      <c r="E29" s="571"/>
      <c r="F29" s="571"/>
      <c r="G29" s="571"/>
      <c r="H29" s="571"/>
      <c r="I29" s="571"/>
      <c r="J29" s="571"/>
      <c r="K29" s="571"/>
      <c r="L29" s="571"/>
      <c r="O29" s="15"/>
      <c r="P29" s="12"/>
      <c r="Q29" s="12"/>
      <c r="R29" s="12"/>
      <c r="S29" s="10"/>
    </row>
    <row r="30" spans="1:19" s="41" customFormat="1" ht="13.8" x14ac:dyDescent="0.25">
      <c r="A30" s="39"/>
      <c r="B30" s="571"/>
      <c r="C30" s="571"/>
      <c r="D30" s="571"/>
      <c r="E30" s="571"/>
      <c r="F30" s="571"/>
      <c r="G30" s="571"/>
      <c r="H30" s="571"/>
      <c r="I30" s="571"/>
      <c r="J30" s="571"/>
      <c r="K30" s="571"/>
      <c r="L30" s="571"/>
      <c r="O30" s="15"/>
      <c r="P30" s="12"/>
      <c r="Q30" s="12"/>
      <c r="R30" s="12"/>
      <c r="S30" s="10"/>
    </row>
    <row r="31" spans="1:19" s="41" customFormat="1" ht="13.8"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39"/>
      <c r="B32" s="571"/>
      <c r="C32" s="571"/>
      <c r="D32" s="571"/>
      <c r="E32" s="571"/>
      <c r="F32" s="571"/>
      <c r="G32" s="571"/>
      <c r="H32" s="571"/>
      <c r="I32" s="571"/>
      <c r="J32" s="571"/>
      <c r="K32" s="571"/>
      <c r="L32" s="571"/>
      <c r="O32" s="15"/>
      <c r="P32" s="12"/>
      <c r="Q32" s="12"/>
      <c r="R32" s="12"/>
      <c r="S32" s="10"/>
    </row>
    <row r="33" spans="1:19" s="41" customFormat="1" ht="13.8" x14ac:dyDescent="0.25">
      <c r="A33" s="39"/>
      <c r="B33" s="571"/>
      <c r="C33" s="571"/>
      <c r="D33" s="571"/>
      <c r="E33" s="571"/>
      <c r="F33" s="571"/>
      <c r="G33" s="571"/>
      <c r="H33" s="571"/>
      <c r="I33" s="571"/>
      <c r="J33" s="571"/>
      <c r="K33" s="571"/>
      <c r="L33" s="571"/>
      <c r="O33" s="15"/>
      <c r="P33" s="12"/>
      <c r="Q33" s="12"/>
      <c r="R33" s="12"/>
      <c r="S33" s="10"/>
    </row>
    <row r="34" spans="1:19" s="41" customFormat="1" ht="13.8" x14ac:dyDescent="0.25">
      <c r="A34" s="39"/>
      <c r="B34" s="571"/>
      <c r="C34" s="571"/>
      <c r="D34" s="571"/>
      <c r="E34" s="571"/>
      <c r="F34" s="571"/>
      <c r="G34" s="571"/>
      <c r="H34" s="571"/>
      <c r="I34" s="571"/>
      <c r="J34" s="571"/>
      <c r="K34" s="571"/>
      <c r="L34" s="571"/>
      <c r="O34" s="15"/>
      <c r="P34" s="12"/>
      <c r="Q34" s="12"/>
      <c r="R34" s="12"/>
      <c r="S34" s="10"/>
    </row>
    <row r="35" spans="1:19" s="41" customFormat="1" ht="13.8" x14ac:dyDescent="0.25">
      <c r="A35" s="39"/>
      <c r="B35" s="571"/>
      <c r="C35" s="571"/>
      <c r="D35" s="571"/>
      <c r="E35" s="571"/>
      <c r="F35" s="571"/>
      <c r="G35" s="571"/>
      <c r="H35" s="571"/>
      <c r="I35" s="571"/>
      <c r="J35" s="571"/>
      <c r="K35" s="571"/>
      <c r="L35" s="571"/>
      <c r="O35" s="15"/>
      <c r="P35" s="12"/>
      <c r="Q35" s="12"/>
      <c r="R35" s="12"/>
      <c r="S35" s="10"/>
    </row>
    <row r="36" spans="1:19" s="41" customFormat="1" ht="13.8" x14ac:dyDescent="0.25">
      <c r="A36" s="39"/>
      <c r="B36" s="571"/>
      <c r="C36" s="571"/>
      <c r="D36" s="571"/>
      <c r="E36" s="571"/>
      <c r="F36" s="571"/>
      <c r="G36" s="571"/>
      <c r="H36" s="571"/>
      <c r="I36" s="571"/>
      <c r="J36" s="571"/>
      <c r="K36" s="571"/>
      <c r="L36" s="571"/>
      <c r="O36" s="15"/>
      <c r="P36" s="12"/>
      <c r="Q36" s="12"/>
      <c r="R36" s="12"/>
      <c r="S36" s="10"/>
    </row>
    <row r="37" spans="1:19" s="41" customFormat="1" ht="13.8" x14ac:dyDescent="0.25">
      <c r="A37" s="39"/>
      <c r="B37" s="571"/>
      <c r="C37" s="571"/>
      <c r="D37" s="571"/>
      <c r="E37" s="571"/>
      <c r="F37" s="571"/>
      <c r="G37" s="571"/>
      <c r="H37" s="571"/>
      <c r="I37" s="571"/>
      <c r="J37" s="571"/>
      <c r="K37" s="571"/>
      <c r="L37" s="571"/>
      <c r="O37" s="15"/>
      <c r="P37" s="12"/>
      <c r="Q37" s="12"/>
      <c r="R37" s="12"/>
      <c r="S37" s="10"/>
    </row>
    <row r="38" spans="1:19" s="41" customFormat="1" ht="13.8" x14ac:dyDescent="0.25">
      <c r="A38" s="39"/>
      <c r="B38" s="571"/>
      <c r="C38" s="571"/>
      <c r="D38" s="571"/>
      <c r="E38" s="571"/>
      <c r="F38" s="571"/>
      <c r="G38" s="571"/>
      <c r="H38" s="571"/>
      <c r="I38" s="571"/>
      <c r="J38" s="571"/>
      <c r="K38" s="571"/>
      <c r="L38" s="571"/>
      <c r="O38" s="15"/>
      <c r="P38" s="12"/>
      <c r="Q38" s="12"/>
      <c r="R38" s="12"/>
      <c r="S38" s="10"/>
    </row>
    <row r="39" spans="1:19" s="41" customFormat="1" ht="13.8" x14ac:dyDescent="0.25">
      <c r="A39" s="39"/>
      <c r="B39" s="571"/>
      <c r="C39" s="571"/>
      <c r="D39" s="571"/>
      <c r="E39" s="571"/>
      <c r="F39" s="571"/>
      <c r="G39" s="571"/>
      <c r="H39" s="571"/>
      <c r="I39" s="571"/>
      <c r="J39" s="571"/>
      <c r="K39" s="571"/>
      <c r="L39" s="571"/>
      <c r="O39" s="15"/>
      <c r="P39" s="12"/>
      <c r="Q39" s="12"/>
      <c r="R39" s="12"/>
      <c r="S39" s="10"/>
    </row>
    <row r="40" spans="1:19" s="41" customFormat="1" ht="13.8" x14ac:dyDescent="0.25">
      <c r="A40" s="39"/>
      <c r="B40" s="571"/>
      <c r="C40" s="571"/>
      <c r="D40" s="571"/>
      <c r="E40" s="571"/>
      <c r="F40" s="571"/>
      <c r="G40" s="571"/>
      <c r="H40" s="571"/>
      <c r="I40" s="571"/>
      <c r="J40" s="571"/>
      <c r="K40" s="571"/>
      <c r="L40" s="571"/>
      <c r="O40" s="15"/>
      <c r="P40" s="12"/>
      <c r="Q40" s="12"/>
      <c r="R40" s="12"/>
      <c r="S40" s="10"/>
    </row>
    <row r="41" spans="1:19" s="41" customFormat="1" ht="13.8" x14ac:dyDescent="0.25">
      <c r="A41" s="39"/>
      <c r="B41" s="571"/>
      <c r="C41" s="571"/>
      <c r="D41" s="571"/>
      <c r="E41" s="571"/>
      <c r="F41" s="571"/>
      <c r="G41" s="571"/>
      <c r="H41" s="571"/>
      <c r="I41" s="571"/>
      <c r="J41" s="571"/>
      <c r="K41" s="571"/>
      <c r="L41" s="571"/>
      <c r="O41" s="15"/>
      <c r="P41" s="12"/>
      <c r="Q41" s="12"/>
      <c r="R41" s="12"/>
      <c r="S41" s="10"/>
    </row>
    <row r="42" spans="1:19" s="41" customFormat="1" ht="13.8" x14ac:dyDescent="0.25">
      <c r="A42" s="39"/>
      <c r="B42" s="571"/>
      <c r="C42" s="571"/>
      <c r="D42" s="571"/>
      <c r="E42" s="571"/>
      <c r="F42" s="571"/>
      <c r="G42" s="571"/>
      <c r="H42" s="571"/>
      <c r="I42" s="571"/>
      <c r="J42" s="571"/>
      <c r="K42" s="571"/>
      <c r="L42" s="571"/>
      <c r="O42" s="15"/>
      <c r="P42" s="12"/>
      <c r="Q42" s="12"/>
      <c r="R42" s="12"/>
      <c r="S42" s="10"/>
    </row>
    <row r="43" spans="1:19" s="41" customFormat="1" ht="13.8" x14ac:dyDescent="0.25">
      <c r="A43" s="39"/>
      <c r="B43" s="571"/>
      <c r="C43" s="571"/>
      <c r="D43" s="571"/>
      <c r="E43" s="571"/>
      <c r="F43" s="571"/>
      <c r="G43" s="571"/>
      <c r="H43" s="571"/>
      <c r="I43" s="571"/>
      <c r="J43" s="571"/>
      <c r="K43" s="571"/>
      <c r="L43" s="571"/>
      <c r="O43" s="15"/>
      <c r="P43" s="12"/>
      <c r="Q43" s="12"/>
      <c r="R43" s="12"/>
      <c r="S43" s="10"/>
    </row>
    <row r="44" spans="1:19" s="41" customFormat="1" ht="13.8" x14ac:dyDescent="0.25">
      <c r="A44" s="39"/>
      <c r="B44" s="571"/>
      <c r="C44" s="571"/>
      <c r="D44" s="571"/>
      <c r="E44" s="571"/>
      <c r="F44" s="571"/>
      <c r="G44" s="571"/>
      <c r="H44" s="571"/>
      <c r="I44" s="571"/>
      <c r="J44" s="571"/>
      <c r="K44" s="571"/>
      <c r="L44" s="571"/>
      <c r="O44" s="15"/>
      <c r="P44" s="12"/>
      <c r="Q44" s="12"/>
      <c r="R44" s="12"/>
      <c r="S44" s="10"/>
    </row>
    <row r="45" spans="1:19" s="41" customFormat="1" ht="5.25" customHeight="1" x14ac:dyDescent="0.25">
      <c r="A45" s="44"/>
      <c r="B45" s="44"/>
      <c r="C45" s="44"/>
      <c r="D45" s="44"/>
      <c r="E45" s="44"/>
      <c r="F45" s="44"/>
      <c r="G45" s="44"/>
      <c r="H45" s="45"/>
      <c r="I45" s="45"/>
      <c r="J45" s="46"/>
      <c r="K45" s="47"/>
      <c r="L45" s="47"/>
      <c r="M45" s="47"/>
      <c r="O45" s="15"/>
      <c r="P45" s="12"/>
      <c r="Q45" s="12"/>
      <c r="R45" s="12"/>
      <c r="S45" s="37"/>
    </row>
    <row r="46" spans="1:19" s="41" customFormat="1" ht="13.8" x14ac:dyDescent="0.25">
      <c r="A46" s="43"/>
      <c r="B46" s="48" t="s">
        <v>26</v>
      </c>
      <c r="D46" s="42"/>
      <c r="E46" s="42"/>
      <c r="F46" s="42"/>
      <c r="G46" s="42"/>
      <c r="H46" s="49"/>
      <c r="I46" s="50"/>
      <c r="J46" s="51"/>
      <c r="K46" s="51"/>
      <c r="O46" s="15"/>
      <c r="P46" s="12"/>
      <c r="Q46" s="12"/>
      <c r="R46" s="12"/>
      <c r="S46" s="37"/>
    </row>
    <row r="47" spans="1:19" s="41" customFormat="1" ht="13.8" x14ac:dyDescent="0.25">
      <c r="A47" s="43"/>
      <c r="B47" s="52"/>
      <c r="D47" s="42"/>
      <c r="E47" s="42"/>
      <c r="F47" s="42"/>
      <c r="G47" s="42"/>
      <c r="H47" s="53"/>
      <c r="I47" s="53" t="s">
        <v>27</v>
      </c>
      <c r="J47" s="42"/>
      <c r="L47" s="54" t="s">
        <v>28</v>
      </c>
      <c r="O47" s="15"/>
      <c r="P47" s="12"/>
      <c r="Q47" s="12"/>
      <c r="R47" s="12"/>
      <c r="S47" s="37"/>
    </row>
    <row r="48" spans="1:19" s="41" customFormat="1" ht="13.8" x14ac:dyDescent="0.25">
      <c r="A48" s="43"/>
      <c r="B48" s="55" t="s">
        <v>29</v>
      </c>
      <c r="C48" s="260" t="s">
        <v>354</v>
      </c>
      <c r="D48" s="295"/>
      <c r="E48" s="295"/>
      <c r="F48" s="295"/>
      <c r="G48" s="261"/>
      <c r="H48" s="261"/>
      <c r="I48" s="575" t="s">
        <v>13</v>
      </c>
      <c r="J48" s="575"/>
      <c r="K48" s="575"/>
      <c r="L48" s="219">
        <v>336000</v>
      </c>
      <c r="M48" s="331" t="s">
        <v>199</v>
      </c>
      <c r="N48" s="331"/>
      <c r="O48" s="43"/>
      <c r="S48" s="40"/>
    </row>
    <row r="49" spans="1:23" s="41" customFormat="1" ht="13.8" x14ac:dyDescent="0.25">
      <c r="A49" s="43"/>
      <c r="B49" s="55" t="s">
        <v>30</v>
      </c>
      <c r="C49" s="264" t="s">
        <v>355</v>
      </c>
      <c r="D49" s="295"/>
      <c r="E49" s="295"/>
      <c r="F49" s="295"/>
      <c r="G49" s="261"/>
      <c r="H49" s="261"/>
      <c r="I49" s="575" t="s">
        <v>19</v>
      </c>
      <c r="J49" s="575"/>
      <c r="K49" s="575"/>
      <c r="L49" s="220">
        <v>21500</v>
      </c>
      <c r="M49" s="331" t="s">
        <v>199</v>
      </c>
      <c r="N49" s="331"/>
      <c r="O49" s="43"/>
      <c r="S49" s="40"/>
    </row>
    <row r="50" spans="1:23" s="41" customFormat="1" ht="13.8" x14ac:dyDescent="0.25">
      <c r="A50" s="43"/>
      <c r="B50" s="55" t="s">
        <v>31</v>
      </c>
      <c r="C50" s="264" t="s">
        <v>356</v>
      </c>
      <c r="D50" s="295"/>
      <c r="E50" s="295"/>
      <c r="F50" s="295"/>
      <c r="G50" s="261"/>
      <c r="H50" s="261"/>
      <c r="I50" s="575" t="s">
        <v>17</v>
      </c>
      <c r="J50" s="575"/>
      <c r="K50" s="575"/>
      <c r="L50" s="220">
        <v>-61000</v>
      </c>
      <c r="M50" s="331" t="s">
        <v>199</v>
      </c>
      <c r="N50" s="331"/>
      <c r="O50" s="43"/>
      <c r="S50" s="40"/>
    </row>
    <row r="51" spans="1:23" s="41" customFormat="1" ht="13.8" x14ac:dyDescent="0.25">
      <c r="A51" s="43"/>
      <c r="B51" s="262" t="s">
        <v>32</v>
      </c>
      <c r="C51" s="260" t="s">
        <v>357</v>
      </c>
      <c r="D51" s="488"/>
      <c r="E51" s="488"/>
      <c r="F51" s="488"/>
      <c r="G51" s="261"/>
      <c r="H51" s="261"/>
      <c r="I51" s="487" t="s">
        <v>24</v>
      </c>
      <c r="J51" s="487"/>
      <c r="K51" s="487"/>
      <c r="L51" s="220">
        <v>-515000</v>
      </c>
      <c r="M51" s="331"/>
      <c r="N51" s="331"/>
      <c r="O51" s="43"/>
      <c r="S51" s="40"/>
    </row>
    <row r="52" spans="1:23" s="41" customFormat="1" ht="13.8" hidden="1" x14ac:dyDescent="0.25">
      <c r="A52" s="43"/>
      <c r="B52" s="262" t="s">
        <v>181</v>
      </c>
      <c r="C52" s="260"/>
      <c r="D52" s="488"/>
      <c r="E52" s="488"/>
      <c r="F52" s="488"/>
      <c r="G52" s="261"/>
      <c r="H52" s="261"/>
      <c r="I52" s="487"/>
      <c r="J52" s="487"/>
      <c r="K52" s="487"/>
      <c r="L52" s="220"/>
      <c r="M52" s="331"/>
      <c r="N52" s="331"/>
      <c r="O52" s="43"/>
      <c r="S52" s="40"/>
    </row>
    <row r="53" spans="1:23" s="62" customFormat="1" ht="14.4" thickBot="1" x14ac:dyDescent="0.3">
      <c r="A53" s="60"/>
      <c r="B53" s="61" t="s">
        <v>184</v>
      </c>
      <c r="E53" s="52"/>
      <c r="F53" s="52"/>
      <c r="G53" s="63"/>
      <c r="H53" s="51"/>
      <c r="I53" s="63"/>
      <c r="J53" s="42"/>
      <c r="L53" s="64">
        <f>SUM(L48:L52)</f>
        <v>-218500</v>
      </c>
      <c r="M53" s="41"/>
      <c r="N53" s="41"/>
      <c r="O53" s="43"/>
      <c r="P53" s="41"/>
      <c r="Q53" s="41"/>
      <c r="R53" s="41"/>
      <c r="S53" s="40"/>
    </row>
    <row r="54" spans="1:23" s="41" customFormat="1" ht="8.25" customHeight="1" thickTop="1" x14ac:dyDescent="0.25">
      <c r="A54" s="65"/>
      <c r="B54" s="66"/>
      <c r="C54" s="66"/>
      <c r="D54" s="66"/>
      <c r="E54" s="66"/>
      <c r="F54" s="66"/>
      <c r="G54" s="66"/>
      <c r="H54" s="66"/>
      <c r="I54" s="66"/>
      <c r="J54" s="67"/>
      <c r="K54" s="67"/>
      <c r="L54" s="47"/>
      <c r="M54" s="47"/>
      <c r="O54" s="43"/>
      <c r="W54" s="40"/>
    </row>
    <row r="55" spans="1:23" s="41" customFormat="1" ht="3.75" customHeight="1" x14ac:dyDescent="0.25">
      <c r="A55" s="39"/>
      <c r="B55" s="68"/>
      <c r="C55" s="68"/>
      <c r="D55" s="68"/>
      <c r="E55" s="68"/>
      <c r="F55" s="68"/>
      <c r="G55" s="68"/>
      <c r="H55" s="68"/>
      <c r="I55" s="68"/>
      <c r="J55" s="69"/>
      <c r="K55" s="69"/>
      <c r="O55" s="43"/>
      <c r="W55" s="40"/>
    </row>
    <row r="56" spans="1:23" s="41" customFormat="1" ht="13.8" x14ac:dyDescent="0.25">
      <c r="A56" s="43"/>
      <c r="B56" s="6" t="s">
        <v>34</v>
      </c>
      <c r="C56" s="70"/>
      <c r="D56" s="70"/>
      <c r="E56" s="70"/>
      <c r="F56" s="70"/>
      <c r="G56" s="70"/>
      <c r="H56" s="70"/>
      <c r="I56" s="70"/>
      <c r="J56" s="89"/>
      <c r="K56" s="89"/>
      <c r="O56" s="43"/>
      <c r="W56" s="40"/>
    </row>
    <row r="57" spans="1:23" s="41" customFormat="1" ht="15" customHeight="1" x14ac:dyDescent="0.25">
      <c r="A57" s="43"/>
      <c r="B57" s="571" t="s">
        <v>358</v>
      </c>
      <c r="C57" s="571"/>
      <c r="D57" s="571"/>
      <c r="E57" s="571"/>
      <c r="F57" s="571"/>
      <c r="G57" s="571"/>
      <c r="H57" s="571"/>
      <c r="I57" s="571"/>
      <c r="J57" s="571"/>
      <c r="K57" s="571"/>
      <c r="L57" s="571"/>
      <c r="O57" s="43"/>
      <c r="W57" s="40"/>
    </row>
    <row r="58" spans="1:23" s="41" customFormat="1" ht="15" customHeight="1" x14ac:dyDescent="0.25">
      <c r="A58" s="43"/>
      <c r="B58" s="571"/>
      <c r="C58" s="571"/>
      <c r="D58" s="571"/>
      <c r="E58" s="571"/>
      <c r="F58" s="571"/>
      <c r="G58" s="571"/>
      <c r="H58" s="571"/>
      <c r="I58" s="571"/>
      <c r="J58" s="571"/>
      <c r="K58" s="571"/>
      <c r="L58" s="571"/>
      <c r="O58" s="43"/>
      <c r="W58" s="40"/>
    </row>
    <row r="59" spans="1:23" ht="13.8" x14ac:dyDescent="0.25">
      <c r="B59" s="571"/>
      <c r="C59" s="571"/>
      <c r="D59" s="571"/>
      <c r="E59" s="571"/>
      <c r="F59" s="571"/>
      <c r="G59" s="571"/>
      <c r="H59" s="571"/>
      <c r="I59" s="571"/>
      <c r="J59" s="571"/>
      <c r="K59" s="571"/>
      <c r="L59" s="571"/>
      <c r="M59" s="41"/>
      <c r="N59" s="41"/>
      <c r="O59" s="43"/>
      <c r="P59" s="41"/>
      <c r="Q59" s="41"/>
      <c r="R59" s="41"/>
      <c r="S59" s="40"/>
    </row>
    <row r="60" spans="1:23" ht="13.8" x14ac:dyDescent="0.25">
      <c r="B60" s="571"/>
      <c r="C60" s="571"/>
      <c r="D60" s="571"/>
      <c r="E60" s="571"/>
      <c r="F60" s="571"/>
      <c r="G60" s="571"/>
      <c r="H60" s="571"/>
      <c r="I60" s="571"/>
      <c r="J60" s="571"/>
      <c r="K60" s="571"/>
      <c r="L60" s="571"/>
      <c r="M60" s="41"/>
      <c r="N60" s="41"/>
      <c r="O60" s="43"/>
      <c r="P60" s="41"/>
      <c r="Q60" s="41"/>
      <c r="R60" s="41"/>
      <c r="S60" s="40"/>
    </row>
    <row r="61" spans="1:23" s="41" customFormat="1" ht="14.4" thickBot="1" x14ac:dyDescent="0.3">
      <c r="A61" s="77"/>
      <c r="B61" s="255"/>
      <c r="C61" s="255"/>
      <c r="D61" s="255"/>
      <c r="E61" s="255"/>
      <c r="F61" s="255"/>
      <c r="G61" s="255"/>
      <c r="H61" s="255"/>
      <c r="I61" s="255"/>
      <c r="J61" s="255"/>
      <c r="K61" s="255"/>
      <c r="L61" s="255"/>
      <c r="M61" s="80"/>
      <c r="O61" s="43"/>
      <c r="W61" s="40"/>
    </row>
    <row r="62" spans="1:23" s="41" customFormat="1" ht="13.8" x14ac:dyDescent="0.25">
      <c r="A62" s="39"/>
      <c r="B62" s="68"/>
      <c r="C62" s="68"/>
      <c r="D62" s="68"/>
      <c r="E62" s="68"/>
      <c r="F62" s="68"/>
      <c r="G62" s="68"/>
      <c r="H62" s="68"/>
      <c r="I62" s="68"/>
      <c r="J62" s="69"/>
      <c r="K62" s="69"/>
      <c r="O62" s="43"/>
      <c r="W62" s="40"/>
    </row>
  </sheetData>
  <mergeCells count="5">
    <mergeCell ref="B23:L44"/>
    <mergeCell ref="B57:L60"/>
    <mergeCell ref="I49:K49"/>
    <mergeCell ref="I48:K48"/>
    <mergeCell ref="I50:K50"/>
  </mergeCells>
  <dataValidations count="3">
    <dataValidation type="list" allowBlank="1" showInputMessage="1" showErrorMessage="1" sqref="I48:K52">
      <formula1>$O$3:$O$21</formula1>
    </dataValidation>
    <dataValidation type="list" allowBlank="1" showInputMessage="1" showErrorMessage="1" sqref="G48:G52">
      <formula1>$O$17:$O$19</formula1>
    </dataValidation>
    <dataValidation allowBlank="1" showErrorMessage="1" promptTitle="Do not change" sqref="B47"/>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68"/>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166</v>
      </c>
      <c r="B1" s="2"/>
      <c r="C1" s="2"/>
      <c r="D1" s="2"/>
      <c r="E1" s="2"/>
      <c r="F1" s="2"/>
      <c r="G1" s="2"/>
      <c r="H1" s="2"/>
      <c r="I1" s="2"/>
      <c r="J1" s="2"/>
      <c r="K1" s="2"/>
      <c r="L1" s="2"/>
      <c r="M1" s="2"/>
      <c r="O1" s="4"/>
      <c r="P1" s="4"/>
      <c r="Q1" s="4"/>
      <c r="R1" s="4"/>
      <c r="S1" s="5"/>
      <c r="T1" s="83" t="s">
        <v>232</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c r="T3" s="83" t="s">
        <v>233</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33317209</v>
      </c>
      <c r="F5" s="18">
        <v>35177037</v>
      </c>
      <c r="G5" s="18">
        <v>35678095.840000004</v>
      </c>
      <c r="I5" s="86" t="s">
        <v>38</v>
      </c>
      <c r="J5" s="73"/>
      <c r="K5" s="73"/>
      <c r="L5" s="73">
        <v>0</v>
      </c>
      <c r="O5" s="15" t="s">
        <v>4</v>
      </c>
      <c r="S5" s="10">
        <f t="shared" si="0"/>
        <v>0</v>
      </c>
    </row>
    <row r="6" spans="1:20" x14ac:dyDescent="0.25">
      <c r="B6" s="16" t="s">
        <v>7</v>
      </c>
      <c r="C6" s="17"/>
      <c r="D6" s="12"/>
      <c r="E6" s="18">
        <v>12617291</v>
      </c>
      <c r="F6" s="18">
        <v>12621610</v>
      </c>
      <c r="G6" s="18">
        <f>+G5-22816372</f>
        <v>12861723.840000004</v>
      </c>
      <c r="I6" s="87" t="s">
        <v>39</v>
      </c>
      <c r="J6" s="18">
        <v>-100000</v>
      </c>
      <c r="K6" s="18">
        <v>140000</v>
      </c>
      <c r="L6" s="18">
        <v>100000</v>
      </c>
      <c r="O6" s="15" t="s">
        <v>6</v>
      </c>
      <c r="S6" s="10">
        <f t="shared" si="0"/>
        <v>0</v>
      </c>
    </row>
    <row r="7" spans="1:20" x14ac:dyDescent="0.25">
      <c r="B7" s="21" t="s">
        <v>9</v>
      </c>
      <c r="C7" s="22"/>
      <c r="D7" s="23"/>
      <c r="E7" s="24">
        <v>12594601</v>
      </c>
      <c r="F7" s="24">
        <v>12547529</v>
      </c>
      <c r="G7" s="24">
        <f>G6-L6</f>
        <v>12761723.840000004</v>
      </c>
      <c r="I7" s="87" t="s">
        <v>40</v>
      </c>
      <c r="J7" s="18">
        <v>50000</v>
      </c>
      <c r="K7" s="18">
        <v>-30000</v>
      </c>
      <c r="L7" s="18">
        <f>+L59</f>
        <v>200000</v>
      </c>
      <c r="O7" s="15" t="s">
        <v>8</v>
      </c>
      <c r="P7" s="20"/>
      <c r="S7" s="10">
        <f t="shared" si="0"/>
        <v>0</v>
      </c>
    </row>
    <row r="8" spans="1:20" x14ac:dyDescent="0.25">
      <c r="B8" s="26" t="s">
        <v>11</v>
      </c>
      <c r="C8" s="27"/>
      <c r="D8" s="28"/>
      <c r="E8" s="29">
        <v>22690</v>
      </c>
      <c r="F8" s="29">
        <v>74081</v>
      </c>
      <c r="G8" s="29">
        <f>G6-G7</f>
        <v>100000</v>
      </c>
      <c r="I8" s="88" t="s">
        <v>43</v>
      </c>
      <c r="J8" s="74">
        <f>E8</f>
        <v>22690</v>
      </c>
      <c r="K8" s="74">
        <f>F8</f>
        <v>74081</v>
      </c>
      <c r="L8" s="74"/>
      <c r="O8" s="15" t="s">
        <v>10</v>
      </c>
      <c r="P8" s="25"/>
      <c r="S8" s="10">
        <f t="shared" si="0"/>
        <v>0</v>
      </c>
    </row>
    <row r="9" spans="1:20" x14ac:dyDescent="0.25">
      <c r="B9" s="32" t="s">
        <v>37</v>
      </c>
      <c r="C9" s="33"/>
      <c r="D9" s="23"/>
      <c r="E9" s="34">
        <f>IF(ISERROR(IF(E8=0,"",(E8/$E$5))),"",(IF(E8=0,"",(E8/$E$5))))</f>
        <v>6.8102943436828699E-4</v>
      </c>
      <c r="F9" s="34">
        <f>IF(ISERROR(IF(F8=0,"",(F8/$F$5))),"",(IF(F8=0,"",(F8/$F$5))))</f>
        <v>2.1059476953672932E-3</v>
      </c>
      <c r="G9" s="34">
        <f>IF(ISERROR(IF(G8=0,"",(G8/$G$5))),"",(IF(G8=0,"",(G8/$G$5))))</f>
        <v>2.8028401641291179E-3</v>
      </c>
      <c r="I9" s="83" t="s">
        <v>42</v>
      </c>
      <c r="O9" s="15" t="s">
        <v>12</v>
      </c>
      <c r="P9" s="30"/>
      <c r="Q9" s="19"/>
      <c r="R9" s="31"/>
      <c r="S9" s="10">
        <f t="shared" si="0"/>
        <v>0</v>
      </c>
    </row>
    <row r="10" spans="1:20" x14ac:dyDescent="0.25">
      <c r="O10" s="15" t="s">
        <v>13</v>
      </c>
      <c r="P10" s="35"/>
      <c r="Q10" s="19"/>
      <c r="S10" s="10">
        <f t="shared" si="0"/>
        <v>30000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170000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200000</v>
      </c>
    </row>
    <row r="23" spans="1:19" s="41" customFormat="1" ht="15" customHeight="1" x14ac:dyDescent="0.25">
      <c r="A23" s="39"/>
      <c r="B23" s="571" t="s">
        <v>400</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5.75" customHeight="1" x14ac:dyDescent="0.25">
      <c r="A25" s="39"/>
      <c r="B25" s="571"/>
      <c r="C25" s="571"/>
      <c r="D25" s="571"/>
      <c r="E25" s="571"/>
      <c r="F25" s="571"/>
      <c r="G25" s="571"/>
      <c r="H25" s="571"/>
      <c r="I25" s="571"/>
      <c r="J25" s="571"/>
      <c r="K25" s="571"/>
      <c r="L25" s="571"/>
      <c r="O25" s="15"/>
      <c r="P25" s="12"/>
      <c r="Q25" s="12"/>
      <c r="R25" s="12"/>
      <c r="S25" s="10"/>
    </row>
    <row r="26" spans="1:19" s="41" customFormat="1" ht="15.75" customHeight="1" x14ac:dyDescent="0.25">
      <c r="A26" s="39"/>
      <c r="B26" s="571"/>
      <c r="C26" s="571"/>
      <c r="D26" s="571"/>
      <c r="E26" s="571"/>
      <c r="F26" s="571"/>
      <c r="G26" s="571"/>
      <c r="H26" s="571"/>
      <c r="I26" s="571"/>
      <c r="J26" s="571"/>
      <c r="K26" s="571"/>
      <c r="L26" s="571"/>
      <c r="O26" s="15"/>
      <c r="P26" s="12"/>
      <c r="Q26" s="12"/>
      <c r="R26" s="12"/>
      <c r="S26" s="10"/>
    </row>
    <row r="27" spans="1:19" s="41" customFormat="1" ht="15.75" customHeight="1" x14ac:dyDescent="0.25">
      <c r="A27" s="39"/>
      <c r="B27" s="571"/>
      <c r="C27" s="571"/>
      <c r="D27" s="571"/>
      <c r="E27" s="571"/>
      <c r="F27" s="571"/>
      <c r="G27" s="571"/>
      <c r="H27" s="571"/>
      <c r="I27" s="571"/>
      <c r="J27" s="571"/>
      <c r="K27" s="571"/>
      <c r="L27" s="571"/>
      <c r="O27" s="15"/>
      <c r="P27" s="12"/>
      <c r="Q27" s="12"/>
      <c r="R27" s="12"/>
      <c r="S27" s="10"/>
    </row>
    <row r="28" spans="1:19" s="41" customFormat="1" ht="15.75" customHeight="1" x14ac:dyDescent="0.25">
      <c r="A28" s="39"/>
      <c r="B28" s="571"/>
      <c r="C28" s="571"/>
      <c r="D28" s="571"/>
      <c r="E28" s="571"/>
      <c r="F28" s="571"/>
      <c r="G28" s="571"/>
      <c r="H28" s="571"/>
      <c r="I28" s="571"/>
      <c r="J28" s="571"/>
      <c r="K28" s="571"/>
      <c r="L28" s="571"/>
      <c r="O28" s="15"/>
      <c r="P28" s="12"/>
      <c r="Q28" s="12"/>
      <c r="R28" s="12"/>
      <c r="S28" s="10"/>
    </row>
    <row r="29" spans="1:19" s="41" customFormat="1" ht="15.75" customHeight="1" x14ac:dyDescent="0.25">
      <c r="A29" s="39"/>
      <c r="B29" s="571"/>
      <c r="C29" s="571"/>
      <c r="D29" s="571"/>
      <c r="E29" s="571"/>
      <c r="F29" s="571"/>
      <c r="G29" s="571"/>
      <c r="H29" s="571"/>
      <c r="I29" s="571"/>
      <c r="J29" s="571"/>
      <c r="K29" s="571"/>
      <c r="L29" s="571"/>
      <c r="O29" s="15"/>
      <c r="P29" s="12"/>
      <c r="Q29" s="12"/>
      <c r="R29" s="12"/>
      <c r="S29" s="10"/>
    </row>
    <row r="30" spans="1:19" s="41" customFormat="1" ht="15.75" customHeight="1" x14ac:dyDescent="0.25">
      <c r="A30" s="39"/>
      <c r="B30" s="571"/>
      <c r="C30" s="571"/>
      <c r="D30" s="571"/>
      <c r="E30" s="571"/>
      <c r="F30" s="571"/>
      <c r="G30" s="571"/>
      <c r="H30" s="571"/>
      <c r="I30" s="571"/>
      <c r="J30" s="571"/>
      <c r="K30" s="571"/>
      <c r="L30" s="571"/>
      <c r="O30" s="15"/>
      <c r="P30" s="12"/>
      <c r="Q30" s="12"/>
      <c r="R30" s="12"/>
      <c r="S30" s="10"/>
    </row>
    <row r="31" spans="1:19" s="41" customFormat="1" ht="15.75" customHeight="1" x14ac:dyDescent="0.25">
      <c r="A31" s="39"/>
      <c r="B31" s="571"/>
      <c r="C31" s="571"/>
      <c r="D31" s="571"/>
      <c r="E31" s="571"/>
      <c r="F31" s="571"/>
      <c r="G31" s="571"/>
      <c r="H31" s="571"/>
      <c r="I31" s="571"/>
      <c r="J31" s="571"/>
      <c r="K31" s="571"/>
      <c r="L31" s="571"/>
      <c r="O31" s="15"/>
      <c r="P31" s="12"/>
      <c r="Q31" s="12"/>
      <c r="R31" s="12"/>
      <c r="S31" s="10"/>
    </row>
    <row r="32" spans="1:19" s="41" customFormat="1" ht="15.75" customHeight="1" x14ac:dyDescent="0.25">
      <c r="A32" s="39"/>
      <c r="B32" s="571"/>
      <c r="C32" s="571"/>
      <c r="D32" s="571"/>
      <c r="E32" s="571"/>
      <c r="F32" s="571"/>
      <c r="G32" s="571"/>
      <c r="H32" s="571"/>
      <c r="I32" s="571"/>
      <c r="J32" s="571"/>
      <c r="K32" s="571"/>
      <c r="L32" s="571"/>
      <c r="O32" s="15"/>
      <c r="P32" s="12"/>
      <c r="Q32" s="12"/>
      <c r="R32" s="12"/>
      <c r="S32" s="10"/>
    </row>
    <row r="33" spans="1:19" s="41" customFormat="1" ht="15.75" customHeight="1" x14ac:dyDescent="0.25">
      <c r="A33" s="39"/>
      <c r="B33" s="571"/>
      <c r="C33" s="571"/>
      <c r="D33" s="571"/>
      <c r="E33" s="571"/>
      <c r="F33" s="571"/>
      <c r="G33" s="571"/>
      <c r="H33" s="571"/>
      <c r="I33" s="571"/>
      <c r="J33" s="571"/>
      <c r="K33" s="571"/>
      <c r="L33" s="571"/>
      <c r="O33" s="15"/>
      <c r="P33" s="12"/>
      <c r="Q33" s="12"/>
      <c r="R33" s="12"/>
      <c r="S33" s="10"/>
    </row>
    <row r="34" spans="1:19" s="41" customFormat="1" ht="15.75" customHeight="1" x14ac:dyDescent="0.25">
      <c r="A34" s="39"/>
      <c r="B34" s="571"/>
      <c r="C34" s="571"/>
      <c r="D34" s="571"/>
      <c r="E34" s="571"/>
      <c r="F34" s="571"/>
      <c r="G34" s="571"/>
      <c r="H34" s="571"/>
      <c r="I34" s="571"/>
      <c r="J34" s="571"/>
      <c r="K34" s="571"/>
      <c r="L34" s="571"/>
      <c r="O34" s="15"/>
      <c r="P34" s="12"/>
      <c r="Q34" s="12"/>
      <c r="R34" s="12"/>
      <c r="S34" s="10"/>
    </row>
    <row r="35" spans="1:19" s="41" customFormat="1" ht="15.75" customHeight="1" x14ac:dyDescent="0.25">
      <c r="A35" s="39"/>
      <c r="B35" s="571"/>
      <c r="C35" s="571"/>
      <c r="D35" s="571"/>
      <c r="E35" s="571"/>
      <c r="F35" s="571"/>
      <c r="G35" s="571"/>
      <c r="H35" s="571"/>
      <c r="I35" s="571"/>
      <c r="J35" s="571"/>
      <c r="K35" s="571"/>
      <c r="L35" s="571"/>
      <c r="O35" s="15"/>
      <c r="P35" s="12"/>
      <c r="Q35" s="12"/>
      <c r="R35" s="12"/>
      <c r="S35" s="10"/>
    </row>
    <row r="36" spans="1:19" s="41" customFormat="1" ht="15.75" customHeight="1" x14ac:dyDescent="0.25">
      <c r="A36" s="39"/>
      <c r="B36" s="571"/>
      <c r="C36" s="571"/>
      <c r="D36" s="571"/>
      <c r="E36" s="571"/>
      <c r="F36" s="571"/>
      <c r="G36" s="571"/>
      <c r="H36" s="571"/>
      <c r="I36" s="571"/>
      <c r="J36" s="571"/>
      <c r="K36" s="571"/>
      <c r="L36" s="571"/>
      <c r="O36" s="15"/>
      <c r="P36" s="12"/>
      <c r="Q36" s="12"/>
      <c r="R36" s="12"/>
      <c r="S36" s="10"/>
    </row>
    <row r="37" spans="1:19" s="41" customFormat="1" ht="15.75" customHeight="1" x14ac:dyDescent="0.25">
      <c r="A37" s="39"/>
      <c r="B37" s="571"/>
      <c r="C37" s="571"/>
      <c r="D37" s="571"/>
      <c r="E37" s="571"/>
      <c r="F37" s="571"/>
      <c r="G37" s="571"/>
      <c r="H37" s="571"/>
      <c r="I37" s="571"/>
      <c r="J37" s="571"/>
      <c r="K37" s="571"/>
      <c r="L37" s="571"/>
      <c r="O37" s="15"/>
      <c r="P37" s="12"/>
      <c r="Q37" s="12"/>
      <c r="R37" s="12"/>
      <c r="S37" s="10"/>
    </row>
    <row r="38" spans="1:19" s="41" customFormat="1" ht="15.75" customHeight="1" x14ac:dyDescent="0.25">
      <c r="A38" s="39"/>
      <c r="B38" s="571"/>
      <c r="C38" s="571"/>
      <c r="D38" s="571"/>
      <c r="E38" s="571"/>
      <c r="F38" s="571"/>
      <c r="G38" s="571"/>
      <c r="H38" s="571"/>
      <c r="I38" s="571"/>
      <c r="J38" s="571"/>
      <c r="K38" s="571"/>
      <c r="L38" s="571"/>
      <c r="O38" s="15"/>
      <c r="P38" s="12"/>
      <c r="Q38" s="12"/>
      <c r="R38" s="12"/>
      <c r="S38" s="10"/>
    </row>
    <row r="39" spans="1:19" s="41" customFormat="1" ht="15.75" customHeight="1" x14ac:dyDescent="0.25">
      <c r="A39" s="39"/>
      <c r="B39" s="571"/>
      <c r="C39" s="571"/>
      <c r="D39" s="571"/>
      <c r="E39" s="571"/>
      <c r="F39" s="571"/>
      <c r="G39" s="571"/>
      <c r="H39" s="571"/>
      <c r="I39" s="571"/>
      <c r="J39" s="571"/>
      <c r="K39" s="571"/>
      <c r="L39" s="571"/>
      <c r="O39" s="15"/>
      <c r="P39" s="12"/>
      <c r="Q39" s="12"/>
      <c r="R39" s="12"/>
      <c r="S39" s="10"/>
    </row>
    <row r="40" spans="1:19" s="41" customFormat="1" ht="15.75" customHeight="1" x14ac:dyDescent="0.25">
      <c r="A40" s="39"/>
      <c r="B40" s="571"/>
      <c r="C40" s="571"/>
      <c r="D40" s="571"/>
      <c r="E40" s="571"/>
      <c r="F40" s="571"/>
      <c r="G40" s="571"/>
      <c r="H40" s="571"/>
      <c r="I40" s="571"/>
      <c r="J40" s="571"/>
      <c r="K40" s="571"/>
      <c r="L40" s="571"/>
      <c r="O40" s="15"/>
      <c r="P40" s="12"/>
      <c r="Q40" s="12"/>
      <c r="R40" s="12"/>
      <c r="S40" s="10"/>
    </row>
    <row r="41" spans="1:19" s="41" customFormat="1" ht="15.75" customHeight="1" x14ac:dyDescent="0.25">
      <c r="A41" s="39"/>
      <c r="B41" s="571"/>
      <c r="C41" s="571"/>
      <c r="D41" s="571"/>
      <c r="E41" s="571"/>
      <c r="F41" s="571"/>
      <c r="G41" s="571"/>
      <c r="H41" s="571"/>
      <c r="I41" s="571"/>
      <c r="J41" s="571"/>
      <c r="K41" s="571"/>
      <c r="L41" s="571"/>
      <c r="O41" s="15"/>
      <c r="P41" s="12"/>
      <c r="Q41" s="12"/>
      <c r="R41" s="12"/>
      <c r="S41" s="10"/>
    </row>
    <row r="42" spans="1:19" s="41" customFormat="1" ht="15.75" customHeight="1" x14ac:dyDescent="0.25">
      <c r="A42" s="39"/>
      <c r="B42" s="571"/>
      <c r="C42" s="571"/>
      <c r="D42" s="571"/>
      <c r="E42" s="571"/>
      <c r="F42" s="571"/>
      <c r="G42" s="571"/>
      <c r="H42" s="571"/>
      <c r="I42" s="571"/>
      <c r="J42" s="571"/>
      <c r="K42" s="571"/>
      <c r="L42" s="571"/>
      <c r="O42" s="15"/>
      <c r="P42" s="12"/>
      <c r="Q42" s="12"/>
      <c r="R42" s="12"/>
      <c r="S42" s="10"/>
    </row>
    <row r="43" spans="1:19" s="41" customFormat="1" ht="15.75" customHeight="1" x14ac:dyDescent="0.25">
      <c r="A43" s="39"/>
      <c r="B43" s="571"/>
      <c r="C43" s="571"/>
      <c r="D43" s="571"/>
      <c r="E43" s="571"/>
      <c r="F43" s="571"/>
      <c r="G43" s="571"/>
      <c r="H43" s="571"/>
      <c r="I43" s="571"/>
      <c r="J43" s="571"/>
      <c r="K43" s="571"/>
      <c r="L43" s="571"/>
      <c r="O43" s="15"/>
      <c r="P43" s="12"/>
      <c r="Q43" s="12"/>
      <c r="R43" s="12"/>
      <c r="S43" s="10"/>
    </row>
    <row r="44" spans="1:19" s="41" customFormat="1" ht="15.75" customHeight="1" x14ac:dyDescent="0.25">
      <c r="A44" s="39"/>
      <c r="B44" s="571"/>
      <c r="C44" s="571"/>
      <c r="D44" s="571"/>
      <c r="E44" s="571"/>
      <c r="F44" s="571"/>
      <c r="G44" s="571"/>
      <c r="H44" s="571"/>
      <c r="I44" s="571"/>
      <c r="J44" s="571"/>
      <c r="K44" s="571"/>
      <c r="L44" s="571"/>
      <c r="O44" s="15"/>
      <c r="P44" s="12"/>
      <c r="Q44" s="12"/>
      <c r="R44" s="12"/>
      <c r="S44" s="10"/>
    </row>
    <row r="45" spans="1:19" s="41" customFormat="1" ht="15.75" customHeight="1" x14ac:dyDescent="0.25">
      <c r="A45" s="39"/>
      <c r="B45" s="571"/>
      <c r="C45" s="571"/>
      <c r="D45" s="571"/>
      <c r="E45" s="571"/>
      <c r="F45" s="571"/>
      <c r="G45" s="571"/>
      <c r="H45" s="571"/>
      <c r="I45" s="571"/>
      <c r="J45" s="571"/>
      <c r="K45" s="571"/>
      <c r="L45" s="571"/>
      <c r="O45" s="15"/>
      <c r="P45" s="12"/>
      <c r="Q45" s="12"/>
      <c r="R45" s="12"/>
      <c r="S45" s="10"/>
    </row>
    <row r="46" spans="1:19" s="41" customFormat="1" ht="15.75" customHeight="1" x14ac:dyDescent="0.25">
      <c r="A46" s="39"/>
      <c r="B46" s="571"/>
      <c r="C46" s="571"/>
      <c r="D46" s="571"/>
      <c r="E46" s="571"/>
      <c r="F46" s="571"/>
      <c r="G46" s="571"/>
      <c r="H46" s="571"/>
      <c r="I46" s="571"/>
      <c r="J46" s="571"/>
      <c r="K46" s="571"/>
      <c r="L46" s="571"/>
      <c r="O46" s="15"/>
      <c r="P46" s="12"/>
      <c r="Q46" s="12"/>
      <c r="R46" s="12"/>
      <c r="S46" s="10"/>
    </row>
    <row r="47" spans="1:19" s="41" customFormat="1" ht="15.75" customHeight="1" x14ac:dyDescent="0.25">
      <c r="A47" s="39"/>
      <c r="B47" s="571"/>
      <c r="C47" s="571"/>
      <c r="D47" s="571"/>
      <c r="E47" s="571"/>
      <c r="F47" s="571"/>
      <c r="G47" s="571"/>
      <c r="H47" s="571"/>
      <c r="I47" s="571"/>
      <c r="J47" s="571"/>
      <c r="K47" s="571"/>
      <c r="L47" s="571"/>
      <c r="O47" s="15"/>
      <c r="P47" s="12"/>
      <c r="Q47" s="12"/>
      <c r="R47" s="12"/>
      <c r="S47" s="10"/>
    </row>
    <row r="48" spans="1:19" s="41" customFormat="1" ht="15.75" customHeight="1" x14ac:dyDescent="0.25">
      <c r="A48" s="39"/>
      <c r="B48" s="571"/>
      <c r="C48" s="571"/>
      <c r="D48" s="571"/>
      <c r="E48" s="571"/>
      <c r="F48" s="571"/>
      <c r="G48" s="571"/>
      <c r="H48" s="571"/>
      <c r="I48" s="571"/>
      <c r="J48" s="571"/>
      <c r="K48" s="571"/>
      <c r="L48" s="571"/>
      <c r="O48" s="15"/>
      <c r="P48" s="12"/>
      <c r="Q48" s="12"/>
      <c r="R48" s="12"/>
      <c r="S48" s="10"/>
    </row>
    <row r="49" spans="1:23" s="41" customFormat="1" ht="15.75" customHeight="1" x14ac:dyDescent="0.25">
      <c r="A49" s="39"/>
      <c r="B49" s="571"/>
      <c r="C49" s="571"/>
      <c r="D49" s="571"/>
      <c r="E49" s="571"/>
      <c r="F49" s="571"/>
      <c r="G49" s="571"/>
      <c r="H49" s="571"/>
      <c r="I49" s="571"/>
      <c r="J49" s="571"/>
      <c r="K49" s="571"/>
      <c r="L49" s="571"/>
      <c r="O49" s="15"/>
      <c r="P49" s="12"/>
      <c r="Q49" s="12"/>
      <c r="R49" s="12"/>
      <c r="S49" s="10"/>
    </row>
    <row r="50" spans="1:23" s="41" customFormat="1" ht="15.75" customHeight="1" x14ac:dyDescent="0.25">
      <c r="A50" s="39"/>
      <c r="B50" s="571"/>
      <c r="C50" s="571"/>
      <c r="D50" s="571"/>
      <c r="E50" s="571"/>
      <c r="F50" s="571"/>
      <c r="G50" s="571"/>
      <c r="H50" s="571"/>
      <c r="I50" s="571"/>
      <c r="J50" s="571"/>
      <c r="K50" s="571"/>
      <c r="L50" s="571"/>
      <c r="O50" s="15"/>
      <c r="P50" s="12"/>
      <c r="Q50" s="12"/>
      <c r="R50" s="12"/>
      <c r="S50" s="10"/>
    </row>
    <row r="51" spans="1:23" s="41" customFormat="1" ht="9" customHeight="1" x14ac:dyDescent="0.25">
      <c r="A51" s="44"/>
      <c r="B51" s="192"/>
      <c r="C51" s="584"/>
      <c r="D51" s="585"/>
      <c r="E51" s="585"/>
      <c r="F51" s="585"/>
      <c r="G51" s="585"/>
      <c r="H51" s="585"/>
      <c r="I51" s="585"/>
      <c r="J51" s="585"/>
      <c r="K51" s="585"/>
      <c r="L51" s="585"/>
      <c r="M51" s="176"/>
      <c r="O51" s="15"/>
      <c r="P51" s="12"/>
      <c r="Q51" s="12"/>
      <c r="R51" s="12"/>
      <c r="S51" s="37"/>
    </row>
    <row r="52" spans="1:23" s="41" customFormat="1" ht="13.8" x14ac:dyDescent="0.25">
      <c r="A52" s="43"/>
      <c r="B52" s="48" t="s">
        <v>26</v>
      </c>
      <c r="D52" s="42"/>
      <c r="E52" s="42"/>
      <c r="F52" s="42"/>
      <c r="G52" s="42"/>
      <c r="H52" s="49"/>
      <c r="I52" s="50"/>
      <c r="J52" s="51"/>
      <c r="K52" s="51"/>
      <c r="O52" s="15"/>
      <c r="P52" s="12"/>
      <c r="Q52" s="12"/>
      <c r="R52" s="12"/>
      <c r="S52" s="37"/>
    </row>
    <row r="53" spans="1:23" s="41" customFormat="1" ht="13.8" x14ac:dyDescent="0.25">
      <c r="A53" s="43"/>
      <c r="B53" s="52"/>
      <c r="D53" s="42"/>
      <c r="E53" s="42"/>
      <c r="F53" s="42"/>
      <c r="G53" s="42"/>
      <c r="H53" s="53"/>
      <c r="I53" s="53" t="s">
        <v>27</v>
      </c>
      <c r="J53" s="42"/>
      <c r="L53" s="54" t="s">
        <v>28</v>
      </c>
      <c r="O53" s="15"/>
      <c r="P53" s="12"/>
      <c r="Q53" s="12"/>
      <c r="R53" s="12"/>
      <c r="S53" s="37"/>
    </row>
    <row r="54" spans="1:23" s="41" customFormat="1" ht="13.8" x14ac:dyDescent="0.25">
      <c r="A54" s="43"/>
      <c r="B54" s="55" t="s">
        <v>29</v>
      </c>
      <c r="C54" s="264" t="s">
        <v>359</v>
      </c>
      <c r="D54" s="264"/>
      <c r="E54" s="264"/>
      <c r="F54" s="264"/>
      <c r="G54" s="264"/>
      <c r="H54" s="264"/>
      <c r="I54" s="264" t="s">
        <v>16</v>
      </c>
      <c r="J54" s="264"/>
      <c r="K54" s="264"/>
      <c r="L54" s="272">
        <v>180000</v>
      </c>
      <c r="M54" s="331" t="s">
        <v>200</v>
      </c>
      <c r="O54" s="43"/>
      <c r="S54" s="40"/>
    </row>
    <row r="55" spans="1:23" s="41" customFormat="1" ht="13.8" x14ac:dyDescent="0.25">
      <c r="A55" s="43"/>
      <c r="B55" s="55" t="s">
        <v>30</v>
      </c>
      <c r="C55" s="260" t="s">
        <v>360</v>
      </c>
      <c r="D55" s="253"/>
      <c r="E55" s="253"/>
      <c r="F55" s="253"/>
      <c r="G55" s="261"/>
      <c r="H55" s="261"/>
      <c r="I55" s="266" t="s">
        <v>16</v>
      </c>
      <c r="J55" s="266"/>
      <c r="K55" s="266"/>
      <c r="L55" s="220">
        <v>85000</v>
      </c>
      <c r="M55" s="331" t="s">
        <v>200</v>
      </c>
      <c r="O55" s="43"/>
      <c r="S55" s="40"/>
    </row>
    <row r="56" spans="1:23" s="41" customFormat="1" ht="13.8" x14ac:dyDescent="0.25">
      <c r="A56" s="43"/>
      <c r="B56" s="55" t="s">
        <v>31</v>
      </c>
      <c r="C56" s="260" t="s">
        <v>361</v>
      </c>
      <c r="D56" s="253"/>
      <c r="E56" s="253"/>
      <c r="F56" s="253"/>
      <c r="G56" s="261"/>
      <c r="H56" s="261"/>
      <c r="I56" s="266" t="s">
        <v>16</v>
      </c>
      <c r="J56" s="266"/>
      <c r="K56" s="266"/>
      <c r="L56" s="220">
        <v>40000</v>
      </c>
      <c r="M56" s="331" t="s">
        <v>200</v>
      </c>
      <c r="O56" s="43"/>
      <c r="S56" s="40"/>
    </row>
    <row r="57" spans="1:23" s="41" customFormat="1" ht="13.8" x14ac:dyDescent="0.25">
      <c r="A57" s="43"/>
      <c r="B57" s="55" t="s">
        <v>32</v>
      </c>
      <c r="C57" s="260" t="s">
        <v>362</v>
      </c>
      <c r="D57" s="253"/>
      <c r="E57" s="253"/>
      <c r="F57" s="253"/>
      <c r="G57" s="261"/>
      <c r="H57" s="261"/>
      <c r="I57" s="575" t="s">
        <v>13</v>
      </c>
      <c r="J57" s="575"/>
      <c r="K57" s="575"/>
      <c r="L57" s="220">
        <v>30000</v>
      </c>
      <c r="M57" s="331" t="s">
        <v>200</v>
      </c>
      <c r="O57" s="43"/>
      <c r="S57" s="40"/>
    </row>
    <row r="58" spans="1:23" s="41" customFormat="1" ht="13.8" x14ac:dyDescent="0.25">
      <c r="A58" s="43"/>
      <c r="B58" s="55" t="s">
        <v>33</v>
      </c>
      <c r="C58" s="260" t="s">
        <v>364</v>
      </c>
      <c r="D58" s="253"/>
      <c r="E58" s="253"/>
      <c r="F58" s="253"/>
      <c r="G58" s="261"/>
      <c r="H58" s="261"/>
      <c r="I58" s="575" t="s">
        <v>16</v>
      </c>
      <c r="J58" s="575"/>
      <c r="K58" s="575"/>
      <c r="L58" s="220">
        <v>-135000</v>
      </c>
      <c r="M58" s="331" t="s">
        <v>200</v>
      </c>
      <c r="O58" s="43"/>
      <c r="S58" s="40"/>
    </row>
    <row r="59" spans="1:23" s="62" customFormat="1" ht="14.4" thickBot="1" x14ac:dyDescent="0.3">
      <c r="A59" s="60"/>
      <c r="B59" s="61" t="s">
        <v>184</v>
      </c>
      <c r="E59" s="52"/>
      <c r="F59" s="52"/>
      <c r="G59" s="63"/>
      <c r="H59" s="51"/>
      <c r="I59" s="63"/>
      <c r="J59" s="42"/>
      <c r="L59" s="64">
        <f>SUM(L54:L58)</f>
        <v>200000</v>
      </c>
      <c r="M59" s="41"/>
      <c r="N59" s="41"/>
      <c r="O59" s="43"/>
      <c r="P59" s="41"/>
      <c r="Q59" s="41"/>
      <c r="R59" s="41"/>
      <c r="S59" s="40"/>
    </row>
    <row r="60" spans="1:23" s="41" customFormat="1" ht="8.25" customHeight="1" thickTop="1" x14ac:dyDescent="0.25">
      <c r="A60" s="65"/>
      <c r="B60" s="66"/>
      <c r="C60" s="66"/>
      <c r="D60" s="66"/>
      <c r="E60" s="66"/>
      <c r="F60" s="66"/>
      <c r="G60" s="66"/>
      <c r="H60" s="66"/>
      <c r="I60" s="66"/>
      <c r="J60" s="67"/>
      <c r="K60" s="67"/>
      <c r="L60" s="47"/>
      <c r="M60" s="47"/>
      <c r="O60" s="43"/>
      <c r="W60" s="40"/>
    </row>
    <row r="61" spans="1:23" s="41" customFormat="1" ht="3.75" customHeight="1" x14ac:dyDescent="0.25">
      <c r="A61" s="39"/>
      <c r="B61" s="68"/>
      <c r="C61" s="68"/>
      <c r="D61" s="68"/>
      <c r="E61" s="68"/>
      <c r="F61" s="68"/>
      <c r="G61" s="68"/>
      <c r="H61" s="68"/>
      <c r="I61" s="68"/>
      <c r="J61" s="69"/>
      <c r="K61" s="69"/>
      <c r="O61" s="43"/>
      <c r="W61" s="40"/>
    </row>
    <row r="62" spans="1:23" s="41" customFormat="1" ht="13.8" x14ac:dyDescent="0.25">
      <c r="A62" s="43"/>
      <c r="B62" s="6" t="s">
        <v>34</v>
      </c>
      <c r="C62" s="70"/>
      <c r="D62" s="70"/>
      <c r="E62" s="70"/>
      <c r="F62" s="70"/>
      <c r="G62" s="70"/>
      <c r="H62" s="70"/>
      <c r="I62" s="70"/>
      <c r="J62" s="89"/>
      <c r="K62" s="89"/>
      <c r="O62" s="43"/>
      <c r="W62" s="40"/>
    </row>
    <row r="63" spans="1:23" s="41" customFormat="1" ht="15" customHeight="1" x14ac:dyDescent="0.25">
      <c r="A63" s="60"/>
      <c r="B63" s="579" t="s">
        <v>363</v>
      </c>
      <c r="C63" s="579"/>
      <c r="D63" s="579"/>
      <c r="E63" s="579"/>
      <c r="F63" s="579"/>
      <c r="G63" s="579"/>
      <c r="H63" s="579"/>
      <c r="I63" s="579"/>
      <c r="J63" s="579"/>
      <c r="K63" s="579"/>
      <c r="L63" s="579"/>
      <c r="M63" s="62"/>
      <c r="O63" s="43"/>
      <c r="W63" s="40"/>
    </row>
    <row r="64" spans="1:23" s="41" customFormat="1" ht="15" customHeight="1" x14ac:dyDescent="0.25">
      <c r="A64" s="60"/>
      <c r="B64" s="579"/>
      <c r="C64" s="579"/>
      <c r="D64" s="579"/>
      <c r="E64" s="579"/>
      <c r="F64" s="579"/>
      <c r="G64" s="579"/>
      <c r="H64" s="579"/>
      <c r="I64" s="579"/>
      <c r="J64" s="579"/>
      <c r="K64" s="579"/>
      <c r="L64" s="579"/>
      <c r="M64" s="62"/>
      <c r="O64" s="43"/>
      <c r="W64" s="40"/>
    </row>
    <row r="65" spans="1:23" s="41" customFormat="1" ht="15" customHeight="1" x14ac:dyDescent="0.25">
      <c r="A65" s="60"/>
      <c r="B65" s="579"/>
      <c r="C65" s="579"/>
      <c r="D65" s="579"/>
      <c r="E65" s="579"/>
      <c r="F65" s="579"/>
      <c r="G65" s="579"/>
      <c r="H65" s="579"/>
      <c r="I65" s="579"/>
      <c r="J65" s="579"/>
      <c r="K65" s="579"/>
      <c r="L65" s="579"/>
      <c r="M65" s="62"/>
      <c r="O65" s="43"/>
      <c r="W65" s="40"/>
    </row>
    <row r="66" spans="1:23" ht="14.4" thickBot="1" x14ac:dyDescent="0.3">
      <c r="A66" s="342"/>
      <c r="B66" s="577"/>
      <c r="C66" s="577"/>
      <c r="D66" s="577"/>
      <c r="E66" s="577"/>
      <c r="F66" s="577"/>
      <c r="G66" s="577"/>
      <c r="H66" s="577"/>
      <c r="I66" s="577"/>
      <c r="J66" s="577"/>
      <c r="K66" s="577"/>
      <c r="L66" s="577"/>
      <c r="M66" s="380"/>
      <c r="N66" s="41"/>
      <c r="O66" s="43"/>
      <c r="P66" s="41"/>
      <c r="Q66" s="41"/>
      <c r="R66" s="41"/>
      <c r="S66" s="40"/>
    </row>
    <row r="67" spans="1:23" s="41" customFormat="1" ht="13.8" x14ac:dyDescent="0.25">
      <c r="A67" s="60"/>
      <c r="B67" s="206"/>
      <c r="C67" s="206"/>
      <c r="D67" s="206"/>
      <c r="E67" s="206"/>
      <c r="F67" s="206"/>
      <c r="G67" s="206"/>
      <c r="H67" s="206"/>
      <c r="I67" s="206"/>
      <c r="J67" s="179"/>
      <c r="K67" s="179"/>
      <c r="L67" s="176"/>
      <c r="M67" s="176"/>
      <c r="O67" s="43"/>
      <c r="W67" s="40"/>
    </row>
    <row r="68" spans="1:23" s="62" customFormat="1" ht="13.8" x14ac:dyDescent="0.25">
      <c r="A68" s="39"/>
      <c r="B68" s="68"/>
      <c r="C68" s="68"/>
      <c r="D68" s="68"/>
      <c r="E68" s="68"/>
      <c r="F68" s="68"/>
      <c r="G68" s="68"/>
      <c r="H68" s="68"/>
      <c r="I68" s="68"/>
      <c r="J68" s="69"/>
      <c r="K68" s="69"/>
      <c r="O68" s="60"/>
      <c r="W68" s="59"/>
    </row>
  </sheetData>
  <mergeCells count="5">
    <mergeCell ref="B23:L50"/>
    <mergeCell ref="I57:K57"/>
    <mergeCell ref="I58:K58"/>
    <mergeCell ref="B63:L66"/>
    <mergeCell ref="C51:L51"/>
  </mergeCells>
  <dataValidations count="3">
    <dataValidation type="list" allowBlank="1" showInputMessage="1" showErrorMessage="1" sqref="G55:G58">
      <formula1>$O$17:$O$19</formula1>
    </dataValidation>
    <dataValidation type="list" allowBlank="1" showInputMessage="1" showErrorMessage="1" sqref="I55:K58">
      <formula1>$O$3:$O$21</formula1>
    </dataValidation>
    <dataValidation allowBlank="1" showErrorMessage="1" promptTitle="Do not change" sqref="B53"/>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96"/>
  <sheetViews>
    <sheetView showGridLines="0" topLeftCell="A51" zoomScaleNormal="100" workbookViewId="0">
      <selection activeCell="C67" sqref="C67"/>
    </sheetView>
  </sheetViews>
  <sheetFormatPr defaultColWidth="9.109375" defaultRowHeight="13.2" x14ac:dyDescent="0.25"/>
  <cols>
    <col min="1" max="1" width="0.88671875" style="83" customWidth="1"/>
    <col min="2" max="2" width="2.6640625" style="83" customWidth="1"/>
    <col min="3" max="3" width="20.5546875" style="83" customWidth="1"/>
    <col min="4" max="4" width="1.44140625" style="83" customWidth="1"/>
    <col min="5" max="7" width="11.109375" style="83" customWidth="1"/>
    <col min="8" max="8" width="1.88671875" style="83" customWidth="1"/>
    <col min="9" max="9" width="20.5546875" style="83" customWidth="1"/>
    <col min="10" max="11" width="11.5546875" style="83" customWidth="1"/>
    <col min="12" max="12" width="13.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167</v>
      </c>
      <c r="B1" s="2"/>
      <c r="C1" s="2"/>
      <c r="D1" s="2"/>
      <c r="E1" s="2"/>
      <c r="F1" s="2"/>
      <c r="G1" s="2"/>
      <c r="H1" s="2"/>
      <c r="I1" s="2"/>
      <c r="J1" s="2"/>
      <c r="K1" s="2"/>
      <c r="L1" s="2"/>
      <c r="M1" s="2"/>
      <c r="O1" s="4"/>
      <c r="P1" s="4"/>
      <c r="Q1" s="4"/>
      <c r="R1" s="4"/>
      <c r="S1" s="5"/>
      <c r="T1" s="83" t="s">
        <v>234</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ht="26.4"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26973162</v>
      </c>
      <c r="F5" s="18">
        <v>27388577</v>
      </c>
      <c r="G5" s="18">
        <v>27397837</v>
      </c>
      <c r="I5" s="86" t="s">
        <v>38</v>
      </c>
      <c r="J5" s="73"/>
      <c r="K5" s="73"/>
      <c r="L5" s="73">
        <v>-530000</v>
      </c>
      <c r="O5" s="15" t="s">
        <v>4</v>
      </c>
      <c r="S5" s="10">
        <f t="shared" si="0"/>
        <v>0</v>
      </c>
    </row>
    <row r="6" spans="1:20" x14ac:dyDescent="0.25">
      <c r="B6" s="16" t="s">
        <v>7</v>
      </c>
      <c r="C6" s="17"/>
      <c r="D6" s="12"/>
      <c r="E6" s="18">
        <v>10797703</v>
      </c>
      <c r="F6" s="18">
        <v>11573484</v>
      </c>
      <c r="G6" s="18">
        <v>11135228</v>
      </c>
      <c r="I6" s="87" t="s">
        <v>39</v>
      </c>
      <c r="J6" s="18">
        <v>162000</v>
      </c>
      <c r="K6" s="18">
        <v>-77000</v>
      </c>
      <c r="L6" s="18">
        <v>-2704000</v>
      </c>
      <c r="O6" s="15" t="s">
        <v>6</v>
      </c>
      <c r="S6" s="10">
        <f t="shared" si="0"/>
        <v>0</v>
      </c>
    </row>
    <row r="7" spans="1:20" x14ac:dyDescent="0.25">
      <c r="B7" s="21" t="s">
        <v>9</v>
      </c>
      <c r="C7" s="22"/>
      <c r="D7" s="23"/>
      <c r="E7" s="24">
        <v>10378190</v>
      </c>
      <c r="F7" s="24">
        <v>12347155</v>
      </c>
      <c r="G7" s="24">
        <f>G6-L6</f>
        <v>13839228</v>
      </c>
      <c r="I7" s="87" t="s">
        <v>40</v>
      </c>
      <c r="J7" s="18">
        <v>63000</v>
      </c>
      <c r="K7" s="18">
        <v>-25000</v>
      </c>
      <c r="L7" s="18">
        <f>+L90</f>
        <v>-2924500</v>
      </c>
      <c r="O7" s="15" t="s">
        <v>8</v>
      </c>
      <c r="P7" s="20"/>
      <c r="S7" s="10">
        <f t="shared" si="0"/>
        <v>0</v>
      </c>
    </row>
    <row r="8" spans="1:20" x14ac:dyDescent="0.25">
      <c r="B8" s="26" t="s">
        <v>11</v>
      </c>
      <c r="C8" s="27"/>
      <c r="D8" s="28"/>
      <c r="E8" s="29">
        <v>419513</v>
      </c>
      <c r="F8" s="29">
        <v>-773671</v>
      </c>
      <c r="G8" s="29">
        <f>G6-G7</f>
        <v>-2704000</v>
      </c>
      <c r="I8" s="88" t="s">
        <v>43</v>
      </c>
      <c r="J8" s="74">
        <f>E8</f>
        <v>419513</v>
      </c>
      <c r="K8" s="74">
        <f>F8</f>
        <v>-773671</v>
      </c>
      <c r="L8" s="74"/>
      <c r="O8" s="15" t="s">
        <v>10</v>
      </c>
      <c r="P8" s="25"/>
      <c r="S8" s="10">
        <f t="shared" si="0"/>
        <v>0</v>
      </c>
    </row>
    <row r="9" spans="1:20" x14ac:dyDescent="0.25">
      <c r="B9" s="32" t="s">
        <v>37</v>
      </c>
      <c r="C9" s="33"/>
      <c r="D9" s="23"/>
      <c r="E9" s="34">
        <f>IF(ISERROR(IF(E8=0,"",(E8/$E$5))),"",(IF(E8=0,"",(E8/$E$5))))</f>
        <v>1.5552978178828274E-2</v>
      </c>
      <c r="F9" s="34">
        <f>IF(ISERROR(IF(F8=0,"",(F8/$F$5))),"",(IF(F8=0,"",(F8/$F$5))))</f>
        <v>-2.8247944389370797E-2</v>
      </c>
      <c r="G9" s="34">
        <f>IF(ISERROR(IF(G8=0,"",(G8/$G$5))),"",(IF(G8=0,"",(G8/$G$5))))</f>
        <v>-9.8693922443585602E-2</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-288500</v>
      </c>
    </row>
    <row r="14" spans="1:20" x14ac:dyDescent="0.25">
      <c r="O14" s="15" t="s">
        <v>17</v>
      </c>
      <c r="P14" s="36"/>
      <c r="Q14" s="36"/>
      <c r="S14" s="10">
        <f t="shared" si="0"/>
        <v>0</v>
      </c>
    </row>
    <row r="15" spans="1:20" x14ac:dyDescent="0.25">
      <c r="O15" s="15" t="s">
        <v>18</v>
      </c>
      <c r="P15" s="36"/>
      <c r="Q15" s="36"/>
      <c r="S15" s="10">
        <f t="shared" si="0"/>
        <v>-2925000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289000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-2924500</v>
      </c>
    </row>
    <row r="23" spans="1:19" s="41" customFormat="1" ht="15.75" customHeight="1" x14ac:dyDescent="0.25">
      <c r="A23" s="39"/>
      <c r="B23" s="586" t="s">
        <v>415</v>
      </c>
      <c r="C23" s="586"/>
      <c r="D23" s="586"/>
      <c r="E23" s="586"/>
      <c r="F23" s="586"/>
      <c r="G23" s="586"/>
      <c r="H23" s="586"/>
      <c r="I23" s="586"/>
      <c r="J23" s="586"/>
      <c r="K23" s="586"/>
      <c r="L23" s="586"/>
      <c r="M23" s="62"/>
      <c r="N23" s="62"/>
      <c r="O23" s="15"/>
      <c r="P23" s="12"/>
      <c r="Q23" s="12"/>
      <c r="R23" s="12"/>
      <c r="S23" s="10"/>
    </row>
    <row r="24" spans="1:19" s="41" customFormat="1" ht="15.75" customHeight="1" x14ac:dyDescent="0.25">
      <c r="A24" s="39"/>
      <c r="B24" s="586"/>
      <c r="C24" s="586"/>
      <c r="D24" s="586"/>
      <c r="E24" s="586"/>
      <c r="F24" s="586"/>
      <c r="G24" s="586"/>
      <c r="H24" s="586"/>
      <c r="I24" s="586"/>
      <c r="J24" s="586"/>
      <c r="K24" s="586"/>
      <c r="L24" s="586"/>
      <c r="M24" s="62"/>
      <c r="N24" s="62"/>
      <c r="O24" s="15"/>
      <c r="P24" s="455"/>
      <c r="Q24" s="12"/>
      <c r="R24" s="12"/>
      <c r="S24" s="10"/>
    </row>
    <row r="25" spans="1:19" s="41" customFormat="1" ht="15.75" customHeight="1" x14ac:dyDescent="0.25">
      <c r="A25" s="39"/>
      <c r="B25" s="586"/>
      <c r="C25" s="586"/>
      <c r="D25" s="586"/>
      <c r="E25" s="586"/>
      <c r="F25" s="586"/>
      <c r="G25" s="586"/>
      <c r="H25" s="586"/>
      <c r="I25" s="586"/>
      <c r="J25" s="586"/>
      <c r="K25" s="586"/>
      <c r="L25" s="586"/>
      <c r="M25" s="62"/>
      <c r="N25" s="62"/>
      <c r="O25" s="15"/>
      <c r="P25" s="12"/>
      <c r="Q25" s="12"/>
      <c r="R25" s="12"/>
      <c r="S25" s="10"/>
    </row>
    <row r="26" spans="1:19" s="41" customFormat="1" ht="15.75" customHeight="1" x14ac:dyDescent="0.25">
      <c r="A26" s="39"/>
      <c r="B26" s="586"/>
      <c r="C26" s="586"/>
      <c r="D26" s="586"/>
      <c r="E26" s="586"/>
      <c r="F26" s="586"/>
      <c r="G26" s="586"/>
      <c r="H26" s="586"/>
      <c r="I26" s="586"/>
      <c r="J26" s="586"/>
      <c r="K26" s="586"/>
      <c r="L26" s="586"/>
      <c r="M26" s="62"/>
      <c r="N26" s="62"/>
      <c r="O26" s="15"/>
      <c r="P26" s="12"/>
      <c r="Q26" s="12"/>
      <c r="R26" s="12"/>
      <c r="S26" s="10"/>
    </row>
    <row r="27" spans="1:19" s="41" customFormat="1" ht="15.75" customHeight="1" x14ac:dyDescent="0.25">
      <c r="A27" s="39"/>
      <c r="B27" s="586"/>
      <c r="C27" s="586"/>
      <c r="D27" s="586"/>
      <c r="E27" s="586"/>
      <c r="F27" s="586"/>
      <c r="G27" s="586"/>
      <c r="H27" s="586"/>
      <c r="I27" s="586"/>
      <c r="J27" s="586"/>
      <c r="K27" s="586"/>
      <c r="L27" s="586"/>
      <c r="M27" s="62"/>
      <c r="N27" s="62"/>
      <c r="O27" s="15"/>
      <c r="P27" s="12"/>
      <c r="Q27" s="12"/>
      <c r="R27" s="12"/>
      <c r="S27" s="10"/>
    </row>
    <row r="28" spans="1:19" s="41" customFormat="1" ht="15.75" customHeight="1" x14ac:dyDescent="0.25">
      <c r="A28" s="39"/>
      <c r="B28" s="586"/>
      <c r="C28" s="586"/>
      <c r="D28" s="586"/>
      <c r="E28" s="586"/>
      <c r="F28" s="586"/>
      <c r="G28" s="586"/>
      <c r="H28" s="586"/>
      <c r="I28" s="586"/>
      <c r="J28" s="586"/>
      <c r="K28" s="586"/>
      <c r="L28" s="586"/>
      <c r="M28" s="62"/>
      <c r="N28" s="62"/>
      <c r="O28" s="15"/>
      <c r="P28" s="12"/>
      <c r="Q28" s="12"/>
      <c r="R28" s="12"/>
      <c r="S28" s="10"/>
    </row>
    <row r="29" spans="1:19" s="41" customFormat="1" ht="15.75" customHeight="1" x14ac:dyDescent="0.25">
      <c r="A29" s="39"/>
      <c r="B29" s="586"/>
      <c r="C29" s="586"/>
      <c r="D29" s="586"/>
      <c r="E29" s="586"/>
      <c r="F29" s="586"/>
      <c r="G29" s="586"/>
      <c r="H29" s="586"/>
      <c r="I29" s="586"/>
      <c r="J29" s="586"/>
      <c r="K29" s="586"/>
      <c r="L29" s="586"/>
      <c r="M29" s="62"/>
      <c r="N29" s="62"/>
      <c r="O29" s="15"/>
      <c r="P29" s="12"/>
      <c r="Q29" s="12"/>
      <c r="R29" s="12"/>
      <c r="S29" s="10"/>
    </row>
    <row r="30" spans="1:19" s="41" customFormat="1" ht="15.75" customHeight="1" x14ac:dyDescent="0.25">
      <c r="A30" s="39"/>
      <c r="B30" s="586"/>
      <c r="C30" s="586"/>
      <c r="D30" s="586"/>
      <c r="E30" s="586"/>
      <c r="F30" s="586"/>
      <c r="G30" s="586"/>
      <c r="H30" s="586"/>
      <c r="I30" s="586"/>
      <c r="J30" s="586"/>
      <c r="K30" s="586"/>
      <c r="L30" s="586"/>
      <c r="M30" s="62"/>
      <c r="N30" s="62"/>
      <c r="O30" s="15"/>
      <c r="P30" s="12"/>
      <c r="Q30" s="12"/>
      <c r="R30" s="12"/>
      <c r="S30" s="10"/>
    </row>
    <row r="31" spans="1:19" s="41" customFormat="1" ht="15.75" customHeight="1" x14ac:dyDescent="0.25">
      <c r="A31" s="39"/>
      <c r="B31" s="586"/>
      <c r="C31" s="586"/>
      <c r="D31" s="586"/>
      <c r="E31" s="586"/>
      <c r="F31" s="586"/>
      <c r="G31" s="586"/>
      <c r="H31" s="586"/>
      <c r="I31" s="586"/>
      <c r="J31" s="586"/>
      <c r="K31" s="586"/>
      <c r="L31" s="586"/>
      <c r="M31" s="62"/>
      <c r="N31" s="62"/>
      <c r="O31" s="15"/>
      <c r="P31" s="12"/>
      <c r="Q31" s="12"/>
      <c r="R31" s="12"/>
      <c r="S31" s="10"/>
    </row>
    <row r="32" spans="1:19" s="41" customFormat="1" ht="15.75" customHeight="1" x14ac:dyDescent="0.25">
      <c r="A32" s="39"/>
      <c r="B32" s="586"/>
      <c r="C32" s="586"/>
      <c r="D32" s="586"/>
      <c r="E32" s="586"/>
      <c r="F32" s="586"/>
      <c r="G32" s="586"/>
      <c r="H32" s="586"/>
      <c r="I32" s="586"/>
      <c r="J32" s="586"/>
      <c r="K32" s="586"/>
      <c r="L32" s="586"/>
      <c r="M32" s="62"/>
      <c r="N32" s="62"/>
      <c r="O32" s="15"/>
      <c r="P32" s="12"/>
      <c r="Q32" s="12"/>
      <c r="R32" s="12"/>
      <c r="S32" s="10"/>
    </row>
    <row r="33" spans="1:19" s="41" customFormat="1" ht="15.75" customHeight="1" x14ac:dyDescent="0.25">
      <c r="A33" s="39"/>
      <c r="B33" s="586"/>
      <c r="C33" s="586"/>
      <c r="D33" s="586"/>
      <c r="E33" s="586"/>
      <c r="F33" s="586"/>
      <c r="G33" s="586"/>
      <c r="H33" s="586"/>
      <c r="I33" s="586"/>
      <c r="J33" s="586"/>
      <c r="K33" s="586"/>
      <c r="L33" s="586"/>
      <c r="M33" s="62"/>
      <c r="N33" s="62"/>
      <c r="O33" s="15"/>
      <c r="P33" s="12"/>
      <c r="Q33" s="12"/>
      <c r="R33" s="12"/>
      <c r="S33" s="10"/>
    </row>
    <row r="34" spans="1:19" s="41" customFormat="1" ht="12" customHeight="1" x14ac:dyDescent="0.25">
      <c r="A34" s="39"/>
      <c r="B34" s="586"/>
      <c r="C34" s="586"/>
      <c r="D34" s="586"/>
      <c r="E34" s="586"/>
      <c r="F34" s="586"/>
      <c r="G34" s="586"/>
      <c r="H34" s="586"/>
      <c r="I34" s="586"/>
      <c r="J34" s="586"/>
      <c r="K34" s="586"/>
      <c r="L34" s="586"/>
      <c r="M34" s="62"/>
      <c r="N34" s="62"/>
      <c r="O34" s="15"/>
      <c r="P34" s="12"/>
      <c r="Q34" s="12"/>
      <c r="R34" s="12"/>
      <c r="S34" s="10"/>
    </row>
    <row r="35" spans="1:19" s="41" customFormat="1" ht="15.75" customHeight="1" x14ac:dyDescent="0.25">
      <c r="A35" s="39"/>
      <c r="B35" s="586"/>
      <c r="C35" s="586"/>
      <c r="D35" s="586"/>
      <c r="E35" s="586"/>
      <c r="F35" s="586"/>
      <c r="G35" s="586"/>
      <c r="H35" s="586"/>
      <c r="I35" s="586"/>
      <c r="J35" s="586"/>
      <c r="K35" s="586"/>
      <c r="L35" s="586"/>
      <c r="M35" s="62"/>
      <c r="N35" s="62"/>
      <c r="O35" s="15"/>
      <c r="P35" s="12"/>
      <c r="Q35" s="12"/>
      <c r="R35" s="12"/>
      <c r="S35" s="10"/>
    </row>
    <row r="36" spans="1:19" s="41" customFormat="1" ht="15.75" customHeight="1" x14ac:dyDescent="0.25">
      <c r="A36" s="39"/>
      <c r="B36" s="586"/>
      <c r="C36" s="586"/>
      <c r="D36" s="586"/>
      <c r="E36" s="586"/>
      <c r="F36" s="586"/>
      <c r="G36" s="586"/>
      <c r="H36" s="586"/>
      <c r="I36" s="586"/>
      <c r="J36" s="586"/>
      <c r="K36" s="586"/>
      <c r="L36" s="586"/>
      <c r="M36" s="62"/>
      <c r="N36" s="62"/>
      <c r="O36" s="15"/>
      <c r="P36" s="455"/>
      <c r="Q36" s="12"/>
      <c r="R36" s="12"/>
      <c r="S36" s="10"/>
    </row>
    <row r="37" spans="1:19" s="41" customFormat="1" ht="15.75" customHeight="1" x14ac:dyDescent="0.25">
      <c r="A37" s="39"/>
      <c r="B37" s="586"/>
      <c r="C37" s="586"/>
      <c r="D37" s="586"/>
      <c r="E37" s="586"/>
      <c r="F37" s="586"/>
      <c r="G37" s="586"/>
      <c r="H37" s="586"/>
      <c r="I37" s="586"/>
      <c r="J37" s="586"/>
      <c r="K37" s="586"/>
      <c r="L37" s="586"/>
      <c r="M37" s="62"/>
      <c r="N37" s="62"/>
      <c r="O37" s="15"/>
      <c r="P37" s="12"/>
      <c r="Q37" s="12"/>
      <c r="R37" s="12"/>
      <c r="S37" s="10"/>
    </row>
    <row r="38" spans="1:19" s="41" customFormat="1" ht="15.75" customHeight="1" x14ac:dyDescent="0.25">
      <c r="A38" s="39"/>
      <c r="B38" s="586"/>
      <c r="C38" s="586"/>
      <c r="D38" s="586"/>
      <c r="E38" s="586"/>
      <c r="F38" s="586"/>
      <c r="G38" s="586"/>
      <c r="H38" s="586"/>
      <c r="I38" s="586"/>
      <c r="J38" s="586"/>
      <c r="K38" s="586"/>
      <c r="L38" s="586"/>
      <c r="M38" s="62"/>
      <c r="N38" s="62"/>
      <c r="O38" s="15"/>
      <c r="P38" s="455"/>
      <c r="Q38" s="12"/>
      <c r="R38" s="12"/>
      <c r="S38" s="10"/>
    </row>
    <row r="39" spans="1:19" s="41" customFormat="1" ht="15.75" customHeight="1" x14ac:dyDescent="0.25">
      <c r="A39" s="39"/>
      <c r="B39" s="586"/>
      <c r="C39" s="586"/>
      <c r="D39" s="586"/>
      <c r="E39" s="586"/>
      <c r="F39" s="586"/>
      <c r="G39" s="586"/>
      <c r="H39" s="586"/>
      <c r="I39" s="586"/>
      <c r="J39" s="586"/>
      <c r="K39" s="586"/>
      <c r="L39" s="586"/>
      <c r="M39" s="62"/>
      <c r="N39" s="62"/>
      <c r="O39" s="15"/>
      <c r="P39" s="12"/>
      <c r="Q39" s="12"/>
      <c r="R39" s="12"/>
      <c r="S39" s="10"/>
    </row>
    <row r="40" spans="1:19" s="41" customFormat="1" ht="15.75" customHeight="1" x14ac:dyDescent="0.25">
      <c r="A40" s="39"/>
      <c r="B40" s="586"/>
      <c r="C40" s="586"/>
      <c r="D40" s="586"/>
      <c r="E40" s="586"/>
      <c r="F40" s="586"/>
      <c r="G40" s="586"/>
      <c r="H40" s="586"/>
      <c r="I40" s="586"/>
      <c r="J40" s="586"/>
      <c r="K40" s="586"/>
      <c r="L40" s="586"/>
      <c r="M40" s="62"/>
      <c r="N40" s="62"/>
      <c r="O40" s="15"/>
      <c r="P40" s="455"/>
      <c r="Q40" s="12"/>
      <c r="R40" s="12"/>
      <c r="S40" s="10"/>
    </row>
    <row r="41" spans="1:19" s="41" customFormat="1" ht="15.75" customHeight="1" x14ac:dyDescent="0.25">
      <c r="A41" s="39"/>
      <c r="B41" s="586"/>
      <c r="C41" s="586"/>
      <c r="D41" s="586"/>
      <c r="E41" s="586"/>
      <c r="F41" s="586"/>
      <c r="G41" s="586"/>
      <c r="H41" s="586"/>
      <c r="I41" s="586"/>
      <c r="J41" s="586"/>
      <c r="K41" s="586"/>
      <c r="L41" s="586"/>
      <c r="M41" s="62"/>
      <c r="N41" s="62"/>
      <c r="O41" s="15"/>
      <c r="P41" s="12"/>
      <c r="Q41" s="12"/>
      <c r="R41" s="12"/>
      <c r="S41" s="10"/>
    </row>
    <row r="42" spans="1:19" s="41" customFormat="1" ht="15.75" customHeight="1" x14ac:dyDescent="0.25">
      <c r="A42" s="39"/>
      <c r="B42" s="586"/>
      <c r="C42" s="586"/>
      <c r="D42" s="586"/>
      <c r="E42" s="586"/>
      <c r="F42" s="586"/>
      <c r="G42" s="586"/>
      <c r="H42" s="586"/>
      <c r="I42" s="586"/>
      <c r="J42" s="586"/>
      <c r="K42" s="586"/>
      <c r="L42" s="586"/>
      <c r="M42" s="62"/>
      <c r="N42" s="62"/>
      <c r="O42" s="15"/>
      <c r="P42" s="12"/>
      <c r="Q42" s="12"/>
      <c r="R42" s="12"/>
      <c r="S42" s="10"/>
    </row>
    <row r="43" spans="1:19" s="41" customFormat="1" ht="15.75" customHeight="1" x14ac:dyDescent="0.25">
      <c r="A43" s="39"/>
      <c r="B43" s="586"/>
      <c r="C43" s="586"/>
      <c r="D43" s="586"/>
      <c r="E43" s="586"/>
      <c r="F43" s="586"/>
      <c r="G43" s="586"/>
      <c r="H43" s="586"/>
      <c r="I43" s="586"/>
      <c r="J43" s="586"/>
      <c r="K43" s="586"/>
      <c r="L43" s="586"/>
      <c r="M43" s="62"/>
      <c r="N43" s="62"/>
      <c r="O43" s="15"/>
      <c r="P43" s="12"/>
      <c r="Q43" s="12"/>
      <c r="R43" s="12"/>
      <c r="S43" s="10"/>
    </row>
    <row r="44" spans="1:19" s="41" customFormat="1" ht="15.75" customHeight="1" x14ac:dyDescent="0.25">
      <c r="A44" s="39"/>
      <c r="B44" s="586"/>
      <c r="C44" s="586"/>
      <c r="D44" s="586"/>
      <c r="E44" s="586"/>
      <c r="F44" s="586"/>
      <c r="G44" s="586"/>
      <c r="H44" s="586"/>
      <c r="I44" s="586"/>
      <c r="J44" s="586"/>
      <c r="K44" s="586"/>
      <c r="L44" s="586"/>
      <c r="M44" s="62"/>
      <c r="N44" s="62"/>
      <c r="O44" s="15"/>
      <c r="P44" s="12"/>
      <c r="Q44" s="12"/>
      <c r="R44" s="12"/>
      <c r="S44" s="10"/>
    </row>
    <row r="45" spans="1:19" s="41" customFormat="1" ht="15.75" customHeight="1" x14ac:dyDescent="0.25">
      <c r="A45" s="39"/>
      <c r="B45" s="586"/>
      <c r="C45" s="586"/>
      <c r="D45" s="586"/>
      <c r="E45" s="586"/>
      <c r="F45" s="586"/>
      <c r="G45" s="586"/>
      <c r="H45" s="586"/>
      <c r="I45" s="586"/>
      <c r="J45" s="586"/>
      <c r="K45" s="586"/>
      <c r="L45" s="586"/>
      <c r="M45" s="62"/>
      <c r="N45" s="62"/>
      <c r="O45" s="15"/>
      <c r="P45" s="12"/>
      <c r="Q45" s="12"/>
      <c r="R45" s="12"/>
      <c r="S45" s="10"/>
    </row>
    <row r="46" spans="1:19" s="41" customFormat="1" ht="15.75" customHeight="1" x14ac:dyDescent="0.25">
      <c r="A46" s="39"/>
      <c r="B46" s="586"/>
      <c r="C46" s="586"/>
      <c r="D46" s="586"/>
      <c r="E46" s="586"/>
      <c r="F46" s="586"/>
      <c r="G46" s="586"/>
      <c r="H46" s="586"/>
      <c r="I46" s="586"/>
      <c r="J46" s="586"/>
      <c r="K46" s="586"/>
      <c r="L46" s="586"/>
      <c r="M46" s="62"/>
      <c r="N46" s="62"/>
      <c r="O46" s="15"/>
      <c r="P46" s="12"/>
      <c r="Q46" s="12"/>
      <c r="R46" s="12"/>
      <c r="S46" s="10"/>
    </row>
    <row r="47" spans="1:19" s="41" customFormat="1" ht="15.75" customHeight="1" x14ac:dyDescent="0.25">
      <c r="A47" s="39"/>
      <c r="B47" s="586"/>
      <c r="C47" s="586"/>
      <c r="D47" s="586"/>
      <c r="E47" s="586"/>
      <c r="F47" s="586"/>
      <c r="G47" s="586"/>
      <c r="H47" s="586"/>
      <c r="I47" s="586"/>
      <c r="J47" s="586"/>
      <c r="K47" s="586"/>
      <c r="L47" s="586"/>
      <c r="M47" s="62"/>
      <c r="N47" s="62"/>
      <c r="O47" s="15"/>
      <c r="P47" s="12"/>
      <c r="Q47" s="12"/>
      <c r="R47" s="12"/>
      <c r="S47" s="10"/>
    </row>
    <row r="48" spans="1:19" s="41" customFormat="1" ht="15.75" customHeight="1" x14ac:dyDescent="0.25">
      <c r="A48" s="39"/>
      <c r="B48" s="586"/>
      <c r="C48" s="586"/>
      <c r="D48" s="586"/>
      <c r="E48" s="586"/>
      <c r="F48" s="586"/>
      <c r="G48" s="586"/>
      <c r="H48" s="586"/>
      <c r="I48" s="586"/>
      <c r="J48" s="586"/>
      <c r="K48" s="586"/>
      <c r="L48" s="586"/>
      <c r="M48" s="62"/>
      <c r="N48" s="62"/>
      <c r="O48" s="15"/>
      <c r="P48" s="12"/>
      <c r="Q48" s="12"/>
      <c r="R48" s="12"/>
      <c r="S48" s="10"/>
    </row>
    <row r="49" spans="1:19" s="41" customFormat="1" ht="15.75" customHeight="1" x14ac:dyDescent="0.25">
      <c r="A49" s="39"/>
      <c r="B49" s="586"/>
      <c r="C49" s="586"/>
      <c r="D49" s="586"/>
      <c r="E49" s="586"/>
      <c r="F49" s="586"/>
      <c r="G49" s="586"/>
      <c r="H49" s="586"/>
      <c r="I49" s="586"/>
      <c r="J49" s="586"/>
      <c r="K49" s="586"/>
      <c r="L49" s="586"/>
      <c r="M49" s="62"/>
      <c r="N49" s="62"/>
      <c r="O49" s="15"/>
      <c r="P49" s="12"/>
      <c r="Q49" s="12"/>
      <c r="R49" s="12"/>
      <c r="S49" s="10"/>
    </row>
    <row r="50" spans="1:19" s="41" customFormat="1" ht="15.75" customHeight="1" x14ac:dyDescent="0.25">
      <c r="A50" s="39"/>
      <c r="B50" s="586"/>
      <c r="C50" s="586"/>
      <c r="D50" s="586"/>
      <c r="E50" s="586"/>
      <c r="F50" s="586"/>
      <c r="G50" s="586"/>
      <c r="H50" s="586"/>
      <c r="I50" s="586"/>
      <c r="J50" s="586"/>
      <c r="K50" s="586"/>
      <c r="L50" s="586"/>
      <c r="M50" s="62"/>
      <c r="N50" s="62"/>
      <c r="O50" s="15"/>
      <c r="P50" s="12"/>
      <c r="Q50" s="12"/>
      <c r="R50" s="12"/>
      <c r="S50" s="10"/>
    </row>
    <row r="51" spans="1:19" s="41" customFormat="1" ht="15.75" customHeight="1" x14ac:dyDescent="0.25">
      <c r="A51" s="39"/>
      <c r="B51" s="586"/>
      <c r="C51" s="586"/>
      <c r="D51" s="586"/>
      <c r="E51" s="586"/>
      <c r="F51" s="586"/>
      <c r="G51" s="586"/>
      <c r="H51" s="586"/>
      <c r="I51" s="586"/>
      <c r="J51" s="586"/>
      <c r="K51" s="586"/>
      <c r="L51" s="586"/>
      <c r="M51" s="62"/>
      <c r="N51" s="62"/>
      <c r="O51" s="15"/>
      <c r="P51" s="12"/>
      <c r="Q51" s="12"/>
      <c r="R51" s="12"/>
      <c r="S51" s="10"/>
    </row>
    <row r="52" spans="1:19" s="41" customFormat="1" ht="13.8" x14ac:dyDescent="0.25">
      <c r="A52" s="39"/>
      <c r="B52" s="586"/>
      <c r="C52" s="586"/>
      <c r="D52" s="586"/>
      <c r="E52" s="586"/>
      <c r="F52" s="586"/>
      <c r="G52" s="586"/>
      <c r="H52" s="586"/>
      <c r="I52" s="586"/>
      <c r="J52" s="586"/>
      <c r="K52" s="586"/>
      <c r="L52" s="586"/>
      <c r="M52" s="62"/>
      <c r="N52" s="62"/>
      <c r="O52" s="15"/>
      <c r="P52" s="12"/>
      <c r="Q52" s="12"/>
      <c r="R52" s="12"/>
      <c r="S52" s="10"/>
    </row>
    <row r="53" spans="1:19" s="41" customFormat="1" ht="13.8" x14ac:dyDescent="0.25">
      <c r="A53" s="39"/>
      <c r="B53" s="586"/>
      <c r="C53" s="586"/>
      <c r="D53" s="586"/>
      <c r="E53" s="586"/>
      <c r="F53" s="586"/>
      <c r="G53" s="586"/>
      <c r="H53" s="586"/>
      <c r="I53" s="586"/>
      <c r="J53" s="586"/>
      <c r="K53" s="586"/>
      <c r="L53" s="586"/>
      <c r="M53" s="62"/>
      <c r="N53" s="62"/>
      <c r="O53" s="15"/>
      <c r="P53" s="12"/>
      <c r="Q53" s="12"/>
      <c r="R53" s="12"/>
      <c r="S53" s="10"/>
    </row>
    <row r="54" spans="1:19" s="41" customFormat="1" ht="13.8" x14ac:dyDescent="0.25">
      <c r="A54" s="39"/>
      <c r="B54" s="586"/>
      <c r="C54" s="586"/>
      <c r="D54" s="586"/>
      <c r="E54" s="586"/>
      <c r="F54" s="586"/>
      <c r="G54" s="586"/>
      <c r="H54" s="586"/>
      <c r="I54" s="586"/>
      <c r="J54" s="586"/>
      <c r="K54" s="586"/>
      <c r="L54" s="586"/>
      <c r="M54" s="62"/>
      <c r="N54" s="62"/>
      <c r="O54" s="15"/>
      <c r="P54" s="12"/>
      <c r="Q54" s="12"/>
      <c r="R54" s="12"/>
      <c r="S54" s="10"/>
    </row>
    <row r="55" spans="1:19" s="41" customFormat="1" ht="13.8" x14ac:dyDescent="0.25">
      <c r="A55" s="39"/>
      <c r="B55" s="586"/>
      <c r="C55" s="586"/>
      <c r="D55" s="586"/>
      <c r="E55" s="586"/>
      <c r="F55" s="586"/>
      <c r="G55" s="586"/>
      <c r="H55" s="586"/>
      <c r="I55" s="586"/>
      <c r="J55" s="586"/>
      <c r="K55" s="586"/>
      <c r="L55" s="586"/>
      <c r="M55" s="62"/>
      <c r="N55" s="62"/>
      <c r="O55" s="15"/>
      <c r="P55" s="12"/>
      <c r="Q55" s="12"/>
      <c r="R55" s="12"/>
      <c r="S55" s="10"/>
    </row>
    <row r="56" spans="1:19" s="41" customFormat="1" ht="13.8" x14ac:dyDescent="0.25">
      <c r="A56" s="39"/>
      <c r="B56" s="586"/>
      <c r="C56" s="586"/>
      <c r="D56" s="586"/>
      <c r="E56" s="586"/>
      <c r="F56" s="586"/>
      <c r="G56" s="586"/>
      <c r="H56" s="586"/>
      <c r="I56" s="586"/>
      <c r="J56" s="586"/>
      <c r="K56" s="586"/>
      <c r="L56" s="586"/>
      <c r="M56" s="62"/>
      <c r="N56" s="62"/>
      <c r="O56" s="15"/>
      <c r="P56" s="12"/>
      <c r="Q56" s="12"/>
      <c r="R56" s="12"/>
      <c r="S56" s="10"/>
    </row>
    <row r="57" spans="1:19" s="41" customFormat="1" ht="13.8" x14ac:dyDescent="0.25">
      <c r="A57" s="39"/>
      <c r="B57" s="586"/>
      <c r="C57" s="586"/>
      <c r="D57" s="586"/>
      <c r="E57" s="586"/>
      <c r="F57" s="586"/>
      <c r="G57" s="586"/>
      <c r="H57" s="586"/>
      <c r="I57" s="586"/>
      <c r="J57" s="586"/>
      <c r="K57" s="586"/>
      <c r="L57" s="586"/>
      <c r="M57" s="62"/>
      <c r="N57" s="62"/>
      <c r="O57" s="15"/>
      <c r="P57" s="12"/>
      <c r="Q57" s="12"/>
      <c r="R57" s="12"/>
      <c r="S57" s="10"/>
    </row>
    <row r="58" spans="1:19" s="41" customFormat="1" ht="13.8" x14ac:dyDescent="0.25">
      <c r="A58" s="39"/>
      <c r="B58" s="586"/>
      <c r="C58" s="586"/>
      <c r="D58" s="586"/>
      <c r="E58" s="586"/>
      <c r="F58" s="586"/>
      <c r="G58" s="586"/>
      <c r="H58" s="586"/>
      <c r="I58" s="586"/>
      <c r="J58" s="586"/>
      <c r="K58" s="586"/>
      <c r="L58" s="586"/>
      <c r="M58" s="62"/>
      <c r="N58" s="62"/>
      <c r="O58" s="15"/>
      <c r="P58" s="12"/>
      <c r="Q58" s="12"/>
      <c r="R58" s="12"/>
      <c r="S58" s="10"/>
    </row>
    <row r="59" spans="1:19" s="41" customFormat="1" ht="13.8" x14ac:dyDescent="0.25">
      <c r="A59" s="39"/>
      <c r="B59" s="586"/>
      <c r="C59" s="586"/>
      <c r="D59" s="586"/>
      <c r="E59" s="586"/>
      <c r="F59" s="586"/>
      <c r="G59" s="586"/>
      <c r="H59" s="586"/>
      <c r="I59" s="586"/>
      <c r="J59" s="586"/>
      <c r="K59" s="586"/>
      <c r="L59" s="586"/>
      <c r="M59" s="62"/>
      <c r="N59" s="62"/>
      <c r="O59" s="15"/>
      <c r="P59" s="12"/>
      <c r="Q59" s="12"/>
      <c r="R59" s="12"/>
      <c r="S59" s="10"/>
    </row>
    <row r="60" spans="1:19" s="41" customFormat="1" ht="13.8" x14ac:dyDescent="0.25">
      <c r="A60" s="39"/>
      <c r="B60" s="586"/>
      <c r="C60" s="586"/>
      <c r="D60" s="586"/>
      <c r="E60" s="586"/>
      <c r="F60" s="586"/>
      <c r="G60" s="586"/>
      <c r="H60" s="586"/>
      <c r="I60" s="586"/>
      <c r="J60" s="586"/>
      <c r="K60" s="586"/>
      <c r="L60" s="586"/>
      <c r="M60" s="62"/>
      <c r="N60" s="62"/>
      <c r="O60" s="15"/>
      <c r="P60" s="12"/>
      <c r="Q60" s="12"/>
      <c r="R60" s="12"/>
      <c r="S60" s="10"/>
    </row>
    <row r="61" spans="1:19" s="41" customFormat="1" ht="13.8" x14ac:dyDescent="0.25">
      <c r="A61" s="39"/>
      <c r="B61" s="586"/>
      <c r="C61" s="586"/>
      <c r="D61" s="586"/>
      <c r="E61" s="586"/>
      <c r="F61" s="586"/>
      <c r="G61" s="586"/>
      <c r="H61" s="586"/>
      <c r="I61" s="586"/>
      <c r="J61" s="586"/>
      <c r="K61" s="586"/>
      <c r="L61" s="586"/>
      <c r="M61" s="62"/>
      <c r="N61" s="62"/>
      <c r="O61" s="15"/>
      <c r="P61" s="12"/>
      <c r="Q61" s="12"/>
      <c r="R61" s="12"/>
      <c r="S61" s="10"/>
    </row>
    <row r="62" spans="1:19" s="41" customFormat="1" ht="15" customHeight="1" x14ac:dyDescent="0.25">
      <c r="A62" s="68"/>
      <c r="B62" s="586"/>
      <c r="C62" s="586"/>
      <c r="D62" s="586"/>
      <c r="E62" s="586"/>
      <c r="F62" s="586"/>
      <c r="G62" s="586"/>
      <c r="H62" s="586"/>
      <c r="I62" s="586"/>
      <c r="J62" s="586"/>
      <c r="K62" s="586"/>
      <c r="L62" s="586"/>
      <c r="M62" s="176"/>
      <c r="O62" s="15"/>
      <c r="P62" s="12"/>
      <c r="Q62" s="12"/>
      <c r="R62" s="12"/>
      <c r="S62" s="37"/>
    </row>
    <row r="63" spans="1:19" s="41" customFormat="1" ht="15" customHeight="1" x14ac:dyDescent="0.25">
      <c r="A63" s="68"/>
      <c r="B63" s="586"/>
      <c r="C63" s="586"/>
      <c r="D63" s="586"/>
      <c r="E63" s="586"/>
      <c r="F63" s="586"/>
      <c r="G63" s="586"/>
      <c r="H63" s="586"/>
      <c r="I63" s="586"/>
      <c r="J63" s="586"/>
      <c r="K63" s="586"/>
      <c r="L63" s="586"/>
      <c r="M63" s="176"/>
      <c r="O63" s="15"/>
      <c r="P63" s="12"/>
      <c r="Q63" s="12"/>
      <c r="R63" s="12"/>
      <c r="S63" s="37"/>
    </row>
    <row r="64" spans="1:19" s="41" customFormat="1" ht="15" customHeight="1" x14ac:dyDescent="0.25">
      <c r="A64" s="68"/>
      <c r="B64" s="586"/>
      <c r="C64" s="586"/>
      <c r="D64" s="586"/>
      <c r="E64" s="586"/>
      <c r="F64" s="586"/>
      <c r="G64" s="586"/>
      <c r="H64" s="586"/>
      <c r="I64" s="586"/>
      <c r="J64" s="586"/>
      <c r="K64" s="586"/>
      <c r="L64" s="586"/>
      <c r="M64" s="176"/>
      <c r="O64" s="15"/>
      <c r="P64" s="12"/>
      <c r="Q64" s="12"/>
      <c r="R64" s="12"/>
      <c r="S64" s="37"/>
    </row>
    <row r="65" spans="1:19" s="41" customFormat="1" ht="15" customHeight="1" x14ac:dyDescent="0.25">
      <c r="A65" s="68"/>
      <c r="B65" s="586"/>
      <c r="C65" s="586"/>
      <c r="D65" s="586"/>
      <c r="E65" s="586"/>
      <c r="F65" s="586"/>
      <c r="G65" s="586"/>
      <c r="H65" s="586"/>
      <c r="I65" s="586"/>
      <c r="J65" s="586"/>
      <c r="K65" s="586"/>
      <c r="L65" s="586"/>
      <c r="M65" s="176"/>
      <c r="O65" s="15"/>
      <c r="P65" s="12"/>
      <c r="Q65" s="12"/>
      <c r="R65" s="12"/>
      <c r="S65" s="37"/>
    </row>
    <row r="66" spans="1:19" s="41" customFormat="1" ht="15" customHeight="1" x14ac:dyDescent="0.25">
      <c r="A66" s="68"/>
      <c r="B66" s="586"/>
      <c r="C66" s="586"/>
      <c r="D66" s="586"/>
      <c r="E66" s="586"/>
      <c r="F66" s="586"/>
      <c r="G66" s="586"/>
      <c r="H66" s="586"/>
      <c r="I66" s="586"/>
      <c r="J66" s="586"/>
      <c r="K66" s="586"/>
      <c r="L66" s="586"/>
      <c r="M66" s="176"/>
      <c r="O66" s="15"/>
      <c r="P66" s="12"/>
      <c r="Q66" s="12"/>
      <c r="R66" s="12"/>
      <c r="S66" s="37"/>
    </row>
    <row r="67" spans="1:19" s="41" customFormat="1" ht="15" customHeight="1" x14ac:dyDescent="0.25">
      <c r="A67" s="68"/>
      <c r="B67" s="586"/>
      <c r="C67" s="586"/>
      <c r="D67" s="586"/>
      <c r="E67" s="586"/>
      <c r="F67" s="586"/>
      <c r="G67" s="586"/>
      <c r="H67" s="586"/>
      <c r="I67" s="586"/>
      <c r="J67" s="586"/>
      <c r="K67" s="586"/>
      <c r="L67" s="586"/>
      <c r="M67" s="176"/>
      <c r="O67" s="15"/>
      <c r="P67" s="12"/>
      <c r="Q67" s="12"/>
      <c r="R67" s="12"/>
      <c r="S67" s="37"/>
    </row>
    <row r="68" spans="1:19" s="41" customFormat="1" ht="15" customHeight="1" x14ac:dyDescent="0.25">
      <c r="A68" s="68"/>
      <c r="B68" s="586"/>
      <c r="C68" s="586"/>
      <c r="D68" s="586"/>
      <c r="E68" s="586"/>
      <c r="F68" s="586"/>
      <c r="G68" s="586"/>
      <c r="H68" s="586"/>
      <c r="I68" s="586"/>
      <c r="J68" s="586"/>
      <c r="K68" s="586"/>
      <c r="L68" s="586"/>
      <c r="M68" s="176"/>
      <c r="O68" s="15"/>
      <c r="P68" s="12"/>
      <c r="Q68" s="12"/>
      <c r="R68" s="12"/>
      <c r="S68" s="37"/>
    </row>
    <row r="69" spans="1:19" s="41" customFormat="1" ht="15" customHeight="1" x14ac:dyDescent="0.25">
      <c r="A69" s="68"/>
      <c r="B69" s="586"/>
      <c r="C69" s="586"/>
      <c r="D69" s="586"/>
      <c r="E69" s="586"/>
      <c r="F69" s="586"/>
      <c r="G69" s="586"/>
      <c r="H69" s="586"/>
      <c r="I69" s="586"/>
      <c r="J69" s="586"/>
      <c r="K69" s="586"/>
      <c r="L69" s="586"/>
      <c r="M69" s="176"/>
      <c r="O69" s="15"/>
      <c r="P69" s="12"/>
      <c r="Q69" s="12"/>
      <c r="R69" s="12"/>
      <c r="S69" s="37"/>
    </row>
    <row r="70" spans="1:19" s="41" customFormat="1" ht="15" customHeight="1" x14ac:dyDescent="0.25">
      <c r="A70" s="68"/>
      <c r="B70" s="586"/>
      <c r="C70" s="586"/>
      <c r="D70" s="586"/>
      <c r="E70" s="586"/>
      <c r="F70" s="586"/>
      <c r="G70" s="586"/>
      <c r="H70" s="586"/>
      <c r="I70" s="586"/>
      <c r="J70" s="586"/>
      <c r="K70" s="586"/>
      <c r="L70" s="586"/>
      <c r="M70" s="176"/>
      <c r="O70" s="15"/>
      <c r="P70" s="12"/>
      <c r="Q70" s="12"/>
      <c r="R70" s="12"/>
      <c r="S70" s="37"/>
    </row>
    <row r="71" spans="1:19" s="41" customFormat="1" ht="15" customHeight="1" x14ac:dyDescent="0.25">
      <c r="A71" s="68"/>
      <c r="B71" s="586"/>
      <c r="C71" s="586"/>
      <c r="D71" s="586"/>
      <c r="E71" s="586"/>
      <c r="F71" s="586"/>
      <c r="G71" s="586"/>
      <c r="H71" s="586"/>
      <c r="I71" s="586"/>
      <c r="J71" s="586"/>
      <c r="K71" s="586"/>
      <c r="L71" s="586"/>
      <c r="M71" s="176"/>
      <c r="O71" s="15"/>
      <c r="P71" s="12"/>
      <c r="Q71" s="12"/>
      <c r="R71" s="12"/>
      <c r="S71" s="37"/>
    </row>
    <row r="72" spans="1:19" s="41" customFormat="1" ht="9" customHeight="1" x14ac:dyDescent="0.25">
      <c r="A72" s="44"/>
      <c r="B72" s="192"/>
      <c r="C72" s="584"/>
      <c r="D72" s="585"/>
      <c r="E72" s="585"/>
      <c r="F72" s="585"/>
      <c r="G72" s="585"/>
      <c r="H72" s="585"/>
      <c r="I72" s="585"/>
      <c r="J72" s="585"/>
      <c r="K72" s="585"/>
      <c r="L72" s="585"/>
      <c r="M72" s="176"/>
      <c r="O72" s="15"/>
      <c r="P72" s="12"/>
      <c r="Q72" s="12"/>
      <c r="R72" s="12"/>
      <c r="S72" s="37"/>
    </row>
    <row r="73" spans="1:19" s="41" customFormat="1" ht="13.8" x14ac:dyDescent="0.25">
      <c r="A73" s="43"/>
      <c r="B73" s="48" t="s">
        <v>26</v>
      </c>
      <c r="D73" s="254"/>
      <c r="E73" s="254"/>
      <c r="F73" s="254"/>
      <c r="G73" s="254"/>
      <c r="H73" s="49"/>
      <c r="I73" s="50"/>
      <c r="J73" s="51"/>
      <c r="K73" s="51"/>
      <c r="O73" s="15"/>
      <c r="P73" s="12"/>
      <c r="Q73" s="12"/>
      <c r="R73" s="12"/>
      <c r="S73" s="37"/>
    </row>
    <row r="74" spans="1:19" s="41" customFormat="1" ht="13.8" x14ac:dyDescent="0.25">
      <c r="A74" s="43"/>
      <c r="B74" s="48"/>
      <c r="D74" s="254"/>
      <c r="E74" s="254"/>
      <c r="F74" s="254"/>
      <c r="G74" s="254"/>
      <c r="H74" s="49"/>
      <c r="I74" s="53" t="s">
        <v>27</v>
      </c>
      <c r="J74" s="51"/>
      <c r="K74" s="51"/>
      <c r="O74" s="15"/>
      <c r="P74" s="12"/>
      <c r="Q74" s="12"/>
      <c r="R74" s="12"/>
      <c r="S74" s="37"/>
    </row>
    <row r="75" spans="1:19" s="41" customFormat="1" ht="13.8" x14ac:dyDescent="0.25">
      <c r="A75" s="43"/>
      <c r="B75" s="415" t="s">
        <v>278</v>
      </c>
      <c r="D75" s="254"/>
      <c r="E75" s="254"/>
      <c r="F75" s="254"/>
      <c r="G75" s="254"/>
      <c r="H75" s="49"/>
      <c r="I75" s="53"/>
      <c r="J75" s="51"/>
      <c r="K75" s="51"/>
      <c r="O75" s="15"/>
      <c r="P75" s="12"/>
      <c r="Q75" s="12"/>
      <c r="R75" s="12"/>
      <c r="S75" s="37"/>
    </row>
    <row r="76" spans="1:19" s="41" customFormat="1" ht="13.8" x14ac:dyDescent="0.25">
      <c r="A76" s="43"/>
      <c r="B76" s="313" t="s">
        <v>29</v>
      </c>
      <c r="C76" s="338" t="s">
        <v>344</v>
      </c>
      <c r="D76" s="482"/>
      <c r="E76" s="482"/>
      <c r="F76" s="482"/>
      <c r="G76" s="261"/>
      <c r="H76" s="261"/>
      <c r="I76" s="575" t="s">
        <v>22</v>
      </c>
      <c r="J76" s="575"/>
      <c r="K76" s="575"/>
      <c r="L76" s="219">
        <v>289000</v>
      </c>
      <c r="M76" s="486" t="s">
        <v>201</v>
      </c>
      <c r="O76" s="15"/>
      <c r="P76" s="12"/>
      <c r="Q76" s="12"/>
      <c r="R76" s="12"/>
      <c r="S76" s="37"/>
    </row>
    <row r="77" spans="1:19" s="41" customFormat="1" ht="13.8" x14ac:dyDescent="0.25">
      <c r="A77" s="43"/>
      <c r="B77" s="313" t="s">
        <v>30</v>
      </c>
      <c r="C77" s="338" t="s">
        <v>220</v>
      </c>
      <c r="D77" s="482"/>
      <c r="E77" s="482"/>
      <c r="F77" s="482"/>
      <c r="G77" s="261"/>
      <c r="H77" s="261"/>
      <c r="I77" s="481" t="s">
        <v>16</v>
      </c>
      <c r="J77" s="481"/>
      <c r="K77" s="481"/>
      <c r="L77" s="459">
        <v>-85000</v>
      </c>
      <c r="M77" s="486" t="s">
        <v>201</v>
      </c>
      <c r="O77" s="15"/>
      <c r="P77" s="12"/>
      <c r="Q77" s="12"/>
      <c r="R77" s="12"/>
      <c r="S77" s="37"/>
    </row>
    <row r="78" spans="1:19" s="41" customFormat="1" ht="13.8" x14ac:dyDescent="0.25">
      <c r="A78" s="43"/>
      <c r="B78" s="313" t="s">
        <v>31</v>
      </c>
      <c r="C78" s="338" t="s">
        <v>345</v>
      </c>
      <c r="D78" s="482"/>
      <c r="E78" s="482"/>
      <c r="F78" s="482"/>
      <c r="G78" s="261"/>
      <c r="H78" s="261"/>
      <c r="I78" s="481" t="s">
        <v>16</v>
      </c>
      <c r="J78" s="481"/>
      <c r="K78" s="481"/>
      <c r="L78" s="459">
        <v>-103500</v>
      </c>
      <c r="M78" s="486" t="s">
        <v>201</v>
      </c>
      <c r="O78" s="15"/>
      <c r="P78" s="12"/>
      <c r="Q78" s="12"/>
      <c r="R78" s="12"/>
      <c r="S78" s="37"/>
    </row>
    <row r="79" spans="1:19" s="41" customFormat="1" ht="13.8" x14ac:dyDescent="0.25">
      <c r="A79" s="43"/>
      <c r="B79" s="313"/>
      <c r="C79" s="383" t="s">
        <v>279</v>
      </c>
      <c r="D79" s="461"/>
      <c r="E79" s="461"/>
      <c r="F79" s="461"/>
      <c r="G79" s="261"/>
      <c r="H79" s="261"/>
      <c r="I79" s="460"/>
      <c r="J79" s="460"/>
      <c r="K79" s="460"/>
      <c r="L79" s="485">
        <f>+SUM(L76:L78)</f>
        <v>100500</v>
      </c>
      <c r="M79" s="331"/>
      <c r="O79" s="15"/>
      <c r="P79" s="12"/>
      <c r="Q79" s="12"/>
      <c r="R79" s="12"/>
      <c r="S79" s="37"/>
    </row>
    <row r="80" spans="1:19" s="41" customFormat="1" ht="13.8" x14ac:dyDescent="0.25">
      <c r="A80" s="43"/>
      <c r="B80" s="464" t="s">
        <v>280</v>
      </c>
      <c r="C80" s="338"/>
      <c r="D80" s="461"/>
      <c r="E80" s="461"/>
      <c r="F80" s="461"/>
      <c r="G80" s="261"/>
      <c r="H80" s="261"/>
      <c r="I80" s="460"/>
      <c r="J80" s="460"/>
      <c r="K80" s="460"/>
      <c r="L80" s="459"/>
      <c r="M80" s="331"/>
      <c r="O80" s="15"/>
      <c r="P80" s="12"/>
      <c r="Q80" s="465"/>
      <c r="R80" s="12"/>
      <c r="S80" s="37"/>
    </row>
    <row r="81" spans="1:23" s="41" customFormat="1" ht="13.8" x14ac:dyDescent="0.25">
      <c r="A81" s="43"/>
      <c r="B81" s="313" t="s">
        <v>32</v>
      </c>
      <c r="C81" s="338" t="s">
        <v>346</v>
      </c>
      <c r="D81" s="482"/>
      <c r="E81" s="482"/>
      <c r="F81" s="482"/>
      <c r="G81" s="261"/>
      <c r="H81" s="261"/>
      <c r="I81" s="481" t="s">
        <v>13</v>
      </c>
      <c r="J81" s="481"/>
      <c r="K81" s="481"/>
      <c r="L81" s="466">
        <v>50000</v>
      </c>
      <c r="M81" s="486"/>
      <c r="O81" s="15"/>
      <c r="P81" s="12"/>
      <c r="Q81" s="12"/>
      <c r="R81" s="12"/>
      <c r="S81" s="37"/>
    </row>
    <row r="82" spans="1:23" s="41" customFormat="1" ht="13.8" x14ac:dyDescent="0.25">
      <c r="A82" s="43"/>
      <c r="B82" s="313" t="s">
        <v>33</v>
      </c>
      <c r="C82" s="338" t="s">
        <v>347</v>
      </c>
      <c r="D82" s="482"/>
      <c r="E82" s="482"/>
      <c r="F82" s="482"/>
      <c r="G82" s="261"/>
      <c r="H82" s="261"/>
      <c r="I82" s="481" t="s">
        <v>16</v>
      </c>
      <c r="J82" s="481"/>
      <c r="K82" s="481"/>
      <c r="L82" s="459">
        <v>-100000</v>
      </c>
      <c r="M82" s="486"/>
      <c r="O82" s="15"/>
      <c r="P82" s="12"/>
      <c r="Q82" s="12"/>
      <c r="R82" s="12"/>
      <c r="S82" s="37"/>
    </row>
    <row r="83" spans="1:23" s="41" customFormat="1" ht="13.8" x14ac:dyDescent="0.25">
      <c r="A83" s="43"/>
      <c r="B83" s="313" t="s">
        <v>181</v>
      </c>
      <c r="C83" s="338" t="s">
        <v>348</v>
      </c>
      <c r="D83" s="482"/>
      <c r="E83" s="482"/>
      <c r="F83" s="482"/>
      <c r="G83" s="261"/>
      <c r="H83" s="261"/>
      <c r="I83" s="481" t="s">
        <v>18</v>
      </c>
      <c r="J83" s="481"/>
      <c r="K83" s="481"/>
      <c r="L83" s="459">
        <v>-2925000</v>
      </c>
      <c r="M83" s="486"/>
      <c r="O83" s="15"/>
      <c r="P83" s="12"/>
      <c r="Q83" s="12"/>
      <c r="R83" s="12"/>
      <c r="S83" s="37"/>
    </row>
    <row r="84" spans="1:23" s="41" customFormat="1" ht="13.8" x14ac:dyDescent="0.25">
      <c r="A84" s="43"/>
      <c r="B84" s="313"/>
      <c r="C84" s="383" t="s">
        <v>281</v>
      </c>
      <c r="D84" s="461"/>
      <c r="E84" s="461"/>
      <c r="F84" s="461"/>
      <c r="G84" s="261"/>
      <c r="H84" s="261"/>
      <c r="I84" s="460"/>
      <c r="J84" s="460"/>
      <c r="K84" s="460"/>
      <c r="L84" s="485">
        <f>+SUM(L81:L83)</f>
        <v>-2975000</v>
      </c>
      <c r="M84" s="331"/>
      <c r="O84" s="15"/>
      <c r="P84" s="12"/>
      <c r="Q84" s="12"/>
      <c r="R84" s="12"/>
      <c r="S84" s="37"/>
    </row>
    <row r="85" spans="1:23" s="41" customFormat="1" ht="13.8" x14ac:dyDescent="0.25">
      <c r="A85" s="43"/>
      <c r="B85" s="464" t="s">
        <v>282</v>
      </c>
      <c r="C85" s="338"/>
      <c r="D85" s="461"/>
      <c r="E85" s="461"/>
      <c r="F85" s="461"/>
      <c r="G85" s="261"/>
      <c r="H85" s="261"/>
      <c r="I85" s="460"/>
      <c r="J85" s="460"/>
      <c r="K85" s="460"/>
      <c r="L85" s="459"/>
      <c r="M85" s="331"/>
      <c r="O85" s="15"/>
      <c r="P85" s="12"/>
      <c r="Q85" s="12"/>
      <c r="R85" s="12"/>
      <c r="S85" s="37"/>
    </row>
    <row r="86" spans="1:23" s="41" customFormat="1" ht="13.8" x14ac:dyDescent="0.25">
      <c r="A86" s="43"/>
      <c r="B86" s="313" t="s">
        <v>182</v>
      </c>
      <c r="C86" s="281" t="s">
        <v>346</v>
      </c>
      <c r="D86" s="482"/>
      <c r="E86" s="482"/>
      <c r="F86" s="482"/>
      <c r="G86" s="261"/>
      <c r="H86" s="261"/>
      <c r="I86" s="575" t="s">
        <v>13</v>
      </c>
      <c r="J86" s="575"/>
      <c r="K86" s="575"/>
      <c r="L86" s="462">
        <v>50000</v>
      </c>
      <c r="M86" s="486" t="s">
        <v>201</v>
      </c>
      <c r="N86" s="264"/>
      <c r="O86" s="15"/>
      <c r="P86" s="12"/>
      <c r="Q86" s="12"/>
      <c r="R86" s="12"/>
      <c r="S86" s="37"/>
    </row>
    <row r="87" spans="1:23" s="41" customFormat="1" ht="13.8" x14ac:dyDescent="0.25">
      <c r="A87" s="43"/>
      <c r="B87" s="313" t="s">
        <v>183</v>
      </c>
      <c r="C87" s="281" t="s">
        <v>349</v>
      </c>
      <c r="D87" s="482"/>
      <c r="E87" s="482"/>
      <c r="F87" s="482"/>
      <c r="G87" s="261"/>
      <c r="H87" s="261"/>
      <c r="I87" s="481" t="s">
        <v>13</v>
      </c>
      <c r="J87" s="481"/>
      <c r="K87" s="481"/>
      <c r="L87" s="459">
        <v>-100000</v>
      </c>
      <c r="M87" s="486"/>
      <c r="N87" s="264"/>
      <c r="O87" s="15"/>
      <c r="P87" s="12"/>
      <c r="Q87" s="12"/>
      <c r="R87" s="12"/>
      <c r="S87" s="37"/>
    </row>
    <row r="88" spans="1:23" s="41" customFormat="1" ht="13.8" x14ac:dyDescent="0.25">
      <c r="A88" s="43"/>
      <c r="B88" s="313"/>
      <c r="C88" s="383" t="s">
        <v>283</v>
      </c>
      <c r="D88" s="461"/>
      <c r="E88" s="461"/>
      <c r="F88" s="461"/>
      <c r="G88" s="261"/>
      <c r="H88" s="261"/>
      <c r="I88" s="460"/>
      <c r="J88" s="460"/>
      <c r="K88" s="460"/>
      <c r="L88" s="484">
        <f>SUM(L86:L87)</f>
        <v>-50000</v>
      </c>
      <c r="M88" s="331"/>
      <c r="O88" s="15"/>
      <c r="P88" s="12"/>
      <c r="Q88" s="12"/>
      <c r="R88" s="12"/>
      <c r="S88" s="37"/>
    </row>
    <row r="89" spans="1:23" s="41" customFormat="1" ht="13.8" x14ac:dyDescent="0.25">
      <c r="A89" s="43"/>
      <c r="B89" s="204"/>
      <c r="C89" s="281"/>
      <c r="D89" s="461"/>
      <c r="E89" s="461"/>
      <c r="F89" s="461"/>
      <c r="G89" s="261"/>
      <c r="H89" s="261"/>
      <c r="I89" s="460"/>
      <c r="J89" s="460"/>
      <c r="K89" s="460"/>
      <c r="L89" s="220"/>
      <c r="M89" s="331"/>
      <c r="O89" s="15"/>
      <c r="P89" s="12"/>
      <c r="Q89" s="12"/>
      <c r="R89" s="12"/>
      <c r="S89" s="37"/>
    </row>
    <row r="90" spans="1:23" s="62" customFormat="1" ht="14.4" thickBot="1" x14ac:dyDescent="0.3">
      <c r="A90" s="60"/>
      <c r="B90" s="61" t="s">
        <v>184</v>
      </c>
      <c r="E90" s="52"/>
      <c r="F90" s="52"/>
      <c r="G90" s="63"/>
      <c r="H90" s="51"/>
      <c r="I90" s="63"/>
      <c r="J90" s="42"/>
      <c r="L90" s="64">
        <f>+L88+L84+L79</f>
        <v>-2924500</v>
      </c>
      <c r="M90" s="41"/>
      <c r="N90" s="41"/>
      <c r="O90" s="43"/>
      <c r="P90" s="41"/>
      <c r="Q90" s="41"/>
      <c r="R90" s="41"/>
      <c r="S90" s="40"/>
    </row>
    <row r="91" spans="1:23" s="41" customFormat="1" ht="11.25" customHeight="1" thickTop="1" x14ac:dyDescent="0.25">
      <c r="A91" s="65"/>
      <c r="B91" s="66"/>
      <c r="C91" s="66"/>
      <c r="D91" s="66"/>
      <c r="E91" s="66"/>
      <c r="F91" s="66"/>
      <c r="G91" s="66"/>
      <c r="H91" s="66"/>
      <c r="I91" s="66"/>
      <c r="J91" s="67"/>
      <c r="K91" s="67"/>
      <c r="L91" s="47"/>
      <c r="M91" s="47"/>
      <c r="O91" s="43"/>
      <c r="W91" s="40"/>
    </row>
    <row r="92" spans="1:23" s="41" customFormat="1" ht="3.75" customHeight="1" x14ac:dyDescent="0.25">
      <c r="A92" s="39"/>
      <c r="B92" s="68"/>
      <c r="C92" s="68"/>
      <c r="D92" s="68"/>
      <c r="E92" s="68"/>
      <c r="F92" s="68"/>
      <c r="G92" s="68"/>
      <c r="H92" s="68"/>
      <c r="I92" s="68"/>
      <c r="J92" s="69"/>
      <c r="K92" s="69"/>
      <c r="O92" s="43"/>
      <c r="W92" s="40"/>
    </row>
    <row r="93" spans="1:23" s="41" customFormat="1" ht="13.8" x14ac:dyDescent="0.25">
      <c r="A93" s="43"/>
      <c r="B93" s="6" t="s">
        <v>34</v>
      </c>
      <c r="C93" s="70"/>
      <c r="D93" s="70"/>
      <c r="E93" s="70"/>
      <c r="F93" s="70"/>
      <c r="G93" s="70"/>
      <c r="H93" s="70"/>
      <c r="I93" s="70"/>
      <c r="J93" s="89"/>
      <c r="K93" s="89"/>
      <c r="O93" s="43"/>
      <c r="W93" s="40"/>
    </row>
    <row r="94" spans="1:23" ht="13.8" x14ac:dyDescent="0.25">
      <c r="B94" s="587" t="s">
        <v>376</v>
      </c>
      <c r="C94" s="587"/>
      <c r="D94" s="587"/>
      <c r="E94" s="587"/>
      <c r="F94" s="587"/>
      <c r="G94" s="587"/>
      <c r="H94" s="587"/>
      <c r="I94" s="587"/>
      <c r="J94" s="587"/>
      <c r="K94" s="587"/>
      <c r="L94" s="587"/>
      <c r="M94" s="41"/>
      <c r="N94" s="41"/>
      <c r="O94" s="43"/>
      <c r="P94" s="41"/>
      <c r="Q94" s="41"/>
      <c r="R94" s="41"/>
      <c r="S94" s="40"/>
    </row>
    <row r="95" spans="1:23" ht="13.8" x14ac:dyDescent="0.25">
      <c r="B95" s="587"/>
      <c r="C95" s="587"/>
      <c r="D95" s="587"/>
      <c r="E95" s="587"/>
      <c r="F95" s="587"/>
      <c r="G95" s="587"/>
      <c r="H95" s="587"/>
      <c r="I95" s="587"/>
      <c r="J95" s="587"/>
      <c r="K95" s="587"/>
      <c r="L95" s="587"/>
      <c r="M95" s="41"/>
      <c r="N95" s="41"/>
      <c r="O95" s="43"/>
      <c r="P95" s="41"/>
      <c r="Q95" s="41"/>
      <c r="R95" s="41"/>
      <c r="S95" s="40"/>
    </row>
    <row r="96" spans="1:23" s="41" customFormat="1" ht="6.75" customHeight="1" thickBot="1" x14ac:dyDescent="0.3">
      <c r="A96" s="412"/>
      <c r="B96" s="413"/>
      <c r="C96" s="413"/>
      <c r="D96" s="413"/>
      <c r="E96" s="413"/>
      <c r="F96" s="413"/>
      <c r="G96" s="413"/>
      <c r="H96" s="413"/>
      <c r="I96" s="413"/>
      <c r="J96" s="414"/>
      <c r="K96" s="414"/>
      <c r="L96" s="380"/>
      <c r="M96" s="380"/>
      <c r="O96" s="43"/>
      <c r="W96" s="40"/>
    </row>
  </sheetData>
  <mergeCells count="5">
    <mergeCell ref="B23:L71"/>
    <mergeCell ref="I76:K76"/>
    <mergeCell ref="I86:K86"/>
    <mergeCell ref="B94:L95"/>
    <mergeCell ref="C72:L72"/>
  </mergeCells>
  <dataValidations count="3">
    <dataValidation type="list" allowBlank="1" showInputMessage="1" showErrorMessage="1" sqref="I76:K89">
      <formula1>$O$3:$O$21</formula1>
    </dataValidation>
    <dataValidation type="list" allowBlank="1" showInputMessage="1" showErrorMessage="1" sqref="G76:G89">
      <formula1>$O$17:$O$19</formula1>
    </dataValidation>
    <dataValidation allowBlank="1" showErrorMessage="1" promptTitle="Do not change" sqref="B75"/>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66"/>
  <sheetViews>
    <sheetView topLeftCell="A37"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164</v>
      </c>
      <c r="B1" s="2"/>
      <c r="C1" s="2"/>
      <c r="D1" s="2"/>
      <c r="E1" s="2"/>
      <c r="F1" s="2"/>
      <c r="G1" s="2"/>
      <c r="H1" s="2"/>
      <c r="I1" s="2"/>
      <c r="J1" s="2"/>
      <c r="K1" s="2"/>
      <c r="L1" s="2"/>
      <c r="M1" s="2"/>
      <c r="O1" s="4"/>
      <c r="P1" s="4"/>
      <c r="Q1" s="4"/>
      <c r="R1" s="4"/>
      <c r="S1" s="5"/>
      <c r="T1" s="83" t="s">
        <v>231</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5874107</v>
      </c>
      <c r="F5" s="18">
        <v>5884847</v>
      </c>
      <c r="G5" s="18">
        <v>5760682</v>
      </c>
      <c r="I5" s="86" t="s">
        <v>38</v>
      </c>
      <c r="J5" s="73"/>
      <c r="K5" s="73"/>
      <c r="L5" s="73">
        <v>0</v>
      </c>
      <c r="O5" s="15" t="s">
        <v>4</v>
      </c>
      <c r="S5" s="10">
        <f t="shared" si="0"/>
        <v>0</v>
      </c>
    </row>
    <row r="6" spans="1:20" x14ac:dyDescent="0.25">
      <c r="B6" s="16" t="s">
        <v>7</v>
      </c>
      <c r="C6" s="17"/>
      <c r="D6" s="12"/>
      <c r="E6" s="18">
        <v>2041106</v>
      </c>
      <c r="F6" s="18">
        <v>2146385</v>
      </c>
      <c r="G6" s="18">
        <f>+G5-3752311</f>
        <v>2008371</v>
      </c>
      <c r="I6" s="87" t="s">
        <v>39</v>
      </c>
      <c r="J6" s="18">
        <v>85000</v>
      </c>
      <c r="K6" s="18">
        <v>0</v>
      </c>
      <c r="L6" s="18">
        <v>38200</v>
      </c>
      <c r="O6" s="15" t="s">
        <v>6</v>
      </c>
      <c r="S6" s="10">
        <f t="shared" si="0"/>
        <v>0</v>
      </c>
    </row>
    <row r="7" spans="1:20" x14ac:dyDescent="0.25">
      <c r="B7" s="21" t="s">
        <v>9</v>
      </c>
      <c r="C7" s="22"/>
      <c r="D7" s="23"/>
      <c r="E7" s="24">
        <v>1841600</v>
      </c>
      <c r="F7" s="24">
        <v>2040909</v>
      </c>
      <c r="G7" s="24">
        <f>G6-L6</f>
        <v>1970171</v>
      </c>
      <c r="I7" s="87" t="s">
        <v>40</v>
      </c>
      <c r="J7" s="18">
        <v>142000</v>
      </c>
      <c r="K7" s="18">
        <v>32300</v>
      </c>
      <c r="L7" s="18">
        <f>+L57</f>
        <v>13000</v>
      </c>
      <c r="O7" s="15" t="s">
        <v>8</v>
      </c>
      <c r="P7" s="20"/>
      <c r="S7" s="10">
        <f t="shared" si="0"/>
        <v>0</v>
      </c>
    </row>
    <row r="8" spans="1:20" x14ac:dyDescent="0.25">
      <c r="B8" s="26" t="s">
        <v>11</v>
      </c>
      <c r="C8" s="27"/>
      <c r="D8" s="28"/>
      <c r="E8" s="29">
        <v>199506</v>
      </c>
      <c r="F8" s="29">
        <v>105476</v>
      </c>
      <c r="G8" s="29">
        <f>G6-G7</f>
        <v>38200</v>
      </c>
      <c r="I8" s="88" t="s">
        <v>43</v>
      </c>
      <c r="J8" s="74">
        <f>E8</f>
        <v>199506</v>
      </c>
      <c r="K8" s="74">
        <f>F8</f>
        <v>105476</v>
      </c>
      <c r="L8" s="74"/>
      <c r="O8" s="15" t="s">
        <v>10</v>
      </c>
      <c r="P8" s="25"/>
      <c r="S8" s="10">
        <f t="shared" si="0"/>
        <v>0</v>
      </c>
    </row>
    <row r="9" spans="1:20" x14ac:dyDescent="0.25">
      <c r="B9" s="32" t="s">
        <v>37</v>
      </c>
      <c r="C9" s="33"/>
      <c r="D9" s="23"/>
      <c r="E9" s="34">
        <f>IF(ISERROR(IF(E8=0,"",(E8/$E$5))),"",(IF(E8=0,"",(E8/$E$5))))</f>
        <v>3.3963630556951042E-2</v>
      </c>
      <c r="F9" s="34">
        <f>IF(ISERROR(IF(F8=0,"",(F8/$F$5))),"",(IF(F8=0,"",(F8/$F$5))))</f>
        <v>1.7923320691260111E-2</v>
      </c>
      <c r="G9" s="34">
        <f>IF(ISERROR(IF(G8=0,"",(G8/$G$5))),"",(IF(G8=0,"",(G8/$G$5))))</f>
        <v>6.6311592967638203E-3</v>
      </c>
      <c r="I9" s="83" t="s">
        <v>42</v>
      </c>
      <c r="O9" s="15" t="s">
        <v>12</v>
      </c>
      <c r="P9" s="30"/>
      <c r="Q9" s="19"/>
      <c r="R9" s="31"/>
      <c r="S9" s="10">
        <f t="shared" si="0"/>
        <v>0</v>
      </c>
    </row>
    <row r="10" spans="1:20" x14ac:dyDescent="0.25">
      <c r="O10" s="15" t="s">
        <v>13</v>
      </c>
      <c r="P10" s="35"/>
      <c r="Q10" s="19"/>
      <c r="S10" s="10">
        <f t="shared" si="0"/>
        <v>-29000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11000</v>
      </c>
    </row>
    <row r="15" spans="1:20" x14ac:dyDescent="0.25">
      <c r="O15" s="15" t="s">
        <v>18</v>
      </c>
      <c r="P15" s="36"/>
      <c r="Q15" s="36"/>
      <c r="S15" s="10">
        <f t="shared" si="0"/>
        <v>0</v>
      </c>
    </row>
    <row r="16" spans="1:20" x14ac:dyDescent="0.25">
      <c r="O16" s="15" t="s">
        <v>19</v>
      </c>
      <c r="P16" s="36"/>
      <c r="Q16" s="36"/>
      <c r="S16" s="10">
        <f t="shared" si="0"/>
        <v>31000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13000</v>
      </c>
    </row>
    <row r="23" spans="1:19" s="41" customFormat="1" ht="15" customHeight="1" x14ac:dyDescent="0.25">
      <c r="A23" s="39"/>
      <c r="B23" s="571" t="s">
        <v>413</v>
      </c>
      <c r="C23" s="571"/>
      <c r="D23" s="571"/>
      <c r="E23" s="571"/>
      <c r="F23" s="571"/>
      <c r="G23" s="571"/>
      <c r="H23" s="571"/>
      <c r="I23" s="571"/>
      <c r="J23" s="571"/>
      <c r="K23" s="571"/>
      <c r="L23" s="571"/>
      <c r="O23" s="15"/>
      <c r="P23" s="12"/>
      <c r="Q23" s="12"/>
      <c r="R23" s="12"/>
      <c r="S23" s="10"/>
    </row>
    <row r="24" spans="1:19" s="41" customFormat="1" ht="9.75" customHeight="1"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B26" s="571"/>
      <c r="C26" s="571"/>
      <c r="D26" s="571"/>
      <c r="E26" s="571"/>
      <c r="F26" s="571"/>
      <c r="G26" s="571"/>
      <c r="H26" s="571"/>
      <c r="I26" s="571"/>
      <c r="J26" s="571"/>
      <c r="K26" s="571"/>
      <c r="L26" s="571"/>
      <c r="O26" s="15"/>
      <c r="P26" s="12"/>
      <c r="Q26" s="12"/>
      <c r="R26" s="12"/>
      <c r="S26" s="10"/>
    </row>
    <row r="27" spans="1:19" s="41" customFormat="1" ht="13.8" x14ac:dyDescent="0.25">
      <c r="B27" s="571"/>
      <c r="C27" s="571"/>
      <c r="D27" s="571"/>
      <c r="E27" s="571"/>
      <c r="F27" s="571"/>
      <c r="G27" s="571"/>
      <c r="H27" s="571"/>
      <c r="I27" s="571"/>
      <c r="J27" s="571"/>
      <c r="K27" s="571"/>
      <c r="L27" s="571"/>
      <c r="O27" s="15"/>
      <c r="P27" s="12"/>
      <c r="Q27" s="12"/>
      <c r="R27" s="12"/>
      <c r="S27" s="10"/>
    </row>
    <row r="28" spans="1:19" s="41" customFormat="1" ht="13.8" x14ac:dyDescent="0.25">
      <c r="B28" s="571"/>
      <c r="C28" s="571"/>
      <c r="D28" s="571"/>
      <c r="E28" s="571"/>
      <c r="F28" s="571"/>
      <c r="G28" s="571"/>
      <c r="H28" s="571"/>
      <c r="I28" s="571"/>
      <c r="J28" s="571"/>
      <c r="K28" s="571"/>
      <c r="L28" s="571"/>
      <c r="O28" s="15"/>
      <c r="P28" s="12"/>
      <c r="Q28" s="12"/>
      <c r="R28" s="12"/>
      <c r="S28" s="10"/>
    </row>
    <row r="29" spans="1:19" s="41" customFormat="1" ht="13.8" x14ac:dyDescent="0.25">
      <c r="B29" s="571"/>
      <c r="C29" s="571"/>
      <c r="D29" s="571"/>
      <c r="E29" s="571"/>
      <c r="F29" s="571"/>
      <c r="G29" s="571"/>
      <c r="H29" s="571"/>
      <c r="I29" s="571"/>
      <c r="J29" s="571"/>
      <c r="K29" s="571"/>
      <c r="L29" s="571"/>
      <c r="O29" s="15"/>
      <c r="P29" s="12"/>
      <c r="Q29" s="12"/>
      <c r="R29" s="12"/>
      <c r="S29" s="10"/>
    </row>
    <row r="30" spans="1:19" s="41" customFormat="1" ht="13.8" x14ac:dyDescent="0.25">
      <c r="B30" s="571"/>
      <c r="C30" s="571"/>
      <c r="D30" s="571"/>
      <c r="E30" s="571"/>
      <c r="F30" s="571"/>
      <c r="G30" s="571"/>
      <c r="H30" s="571"/>
      <c r="I30" s="571"/>
      <c r="J30" s="571"/>
      <c r="K30" s="571"/>
      <c r="L30" s="571"/>
      <c r="O30" s="15"/>
      <c r="P30" s="12"/>
      <c r="Q30" s="12"/>
      <c r="R30" s="12"/>
      <c r="S30" s="10"/>
    </row>
    <row r="31" spans="1:19" s="41" customFormat="1" ht="13.8" x14ac:dyDescent="0.25">
      <c r="B31" s="571"/>
      <c r="C31" s="571"/>
      <c r="D31" s="571"/>
      <c r="E31" s="571"/>
      <c r="F31" s="571"/>
      <c r="G31" s="571"/>
      <c r="H31" s="571"/>
      <c r="I31" s="571"/>
      <c r="J31" s="571"/>
      <c r="K31" s="571"/>
      <c r="L31" s="571"/>
      <c r="O31" s="15"/>
      <c r="P31" s="12"/>
      <c r="Q31" s="12"/>
      <c r="R31" s="12"/>
      <c r="S31" s="10"/>
    </row>
    <row r="32" spans="1:19" s="41" customFormat="1" ht="13.8" x14ac:dyDescent="0.25">
      <c r="B32" s="571"/>
      <c r="C32" s="571"/>
      <c r="D32" s="571"/>
      <c r="E32" s="571"/>
      <c r="F32" s="571"/>
      <c r="G32" s="571"/>
      <c r="H32" s="571"/>
      <c r="I32" s="571"/>
      <c r="J32" s="571"/>
      <c r="K32" s="571"/>
      <c r="L32" s="571"/>
      <c r="O32" s="15"/>
      <c r="P32" s="12"/>
      <c r="Q32" s="12"/>
      <c r="R32" s="12"/>
      <c r="S32" s="10"/>
    </row>
    <row r="33" spans="2:19" s="41" customFormat="1" ht="13.8" x14ac:dyDescent="0.25">
      <c r="B33" s="571"/>
      <c r="C33" s="571"/>
      <c r="D33" s="571"/>
      <c r="E33" s="571"/>
      <c r="F33" s="571"/>
      <c r="G33" s="571"/>
      <c r="H33" s="571"/>
      <c r="I33" s="571"/>
      <c r="J33" s="571"/>
      <c r="K33" s="571"/>
      <c r="L33" s="571"/>
      <c r="O33" s="15"/>
      <c r="P33" s="12"/>
      <c r="Q33" s="12"/>
      <c r="R33" s="12"/>
      <c r="S33" s="10"/>
    </row>
    <row r="34" spans="2:19" s="41" customFormat="1" ht="13.8" x14ac:dyDescent="0.25">
      <c r="B34" s="571"/>
      <c r="C34" s="571"/>
      <c r="D34" s="571"/>
      <c r="E34" s="571"/>
      <c r="F34" s="571"/>
      <c r="G34" s="571"/>
      <c r="H34" s="571"/>
      <c r="I34" s="571"/>
      <c r="J34" s="571"/>
      <c r="K34" s="571"/>
      <c r="L34" s="571"/>
      <c r="O34" s="15"/>
      <c r="P34" s="12"/>
      <c r="Q34" s="12"/>
      <c r="R34" s="12"/>
      <c r="S34" s="10"/>
    </row>
    <row r="35" spans="2:19" s="41" customFormat="1" ht="13.8" x14ac:dyDescent="0.25">
      <c r="B35" s="571"/>
      <c r="C35" s="571"/>
      <c r="D35" s="571"/>
      <c r="E35" s="571"/>
      <c r="F35" s="571"/>
      <c r="G35" s="571"/>
      <c r="H35" s="571"/>
      <c r="I35" s="571"/>
      <c r="J35" s="571"/>
      <c r="K35" s="571"/>
      <c r="L35" s="571"/>
      <c r="O35" s="15"/>
      <c r="P35" s="12"/>
      <c r="Q35" s="12"/>
      <c r="R35" s="12"/>
      <c r="S35" s="10"/>
    </row>
    <row r="36" spans="2:19" s="41" customFormat="1" ht="13.8" x14ac:dyDescent="0.25">
      <c r="B36" s="571"/>
      <c r="C36" s="571"/>
      <c r="D36" s="571"/>
      <c r="E36" s="571"/>
      <c r="F36" s="571"/>
      <c r="G36" s="571"/>
      <c r="H36" s="571"/>
      <c r="I36" s="571"/>
      <c r="J36" s="571"/>
      <c r="K36" s="571"/>
      <c r="L36" s="571"/>
      <c r="O36" s="15"/>
      <c r="P36" s="12"/>
      <c r="Q36" s="12"/>
      <c r="R36" s="12"/>
      <c r="S36" s="10"/>
    </row>
    <row r="37" spans="2:19" s="41" customFormat="1" ht="13.8" x14ac:dyDescent="0.25">
      <c r="B37" s="571"/>
      <c r="C37" s="571"/>
      <c r="D37" s="571"/>
      <c r="E37" s="571"/>
      <c r="F37" s="571"/>
      <c r="G37" s="571"/>
      <c r="H37" s="571"/>
      <c r="I37" s="571"/>
      <c r="J37" s="571"/>
      <c r="K37" s="571"/>
      <c r="L37" s="571"/>
      <c r="O37" s="15"/>
      <c r="P37" s="12"/>
      <c r="Q37" s="12"/>
      <c r="R37" s="12"/>
      <c r="S37" s="10"/>
    </row>
    <row r="38" spans="2:19" s="41" customFormat="1" ht="13.8" x14ac:dyDescent="0.25">
      <c r="B38" s="571"/>
      <c r="C38" s="571"/>
      <c r="D38" s="571"/>
      <c r="E38" s="571"/>
      <c r="F38" s="571"/>
      <c r="G38" s="571"/>
      <c r="H38" s="571"/>
      <c r="I38" s="571"/>
      <c r="J38" s="571"/>
      <c r="K38" s="571"/>
      <c r="L38" s="571"/>
      <c r="O38" s="15"/>
      <c r="P38" s="12"/>
      <c r="Q38" s="12"/>
      <c r="R38" s="12"/>
      <c r="S38" s="10"/>
    </row>
    <row r="39" spans="2:19" s="41" customFormat="1" ht="13.8" x14ac:dyDescent="0.25">
      <c r="B39" s="571"/>
      <c r="C39" s="571"/>
      <c r="D39" s="571"/>
      <c r="E39" s="571"/>
      <c r="F39" s="571"/>
      <c r="G39" s="571"/>
      <c r="H39" s="571"/>
      <c r="I39" s="571"/>
      <c r="J39" s="571"/>
      <c r="K39" s="571"/>
      <c r="L39" s="571"/>
      <c r="O39" s="15"/>
      <c r="P39" s="12"/>
      <c r="Q39" s="12"/>
      <c r="R39" s="12"/>
      <c r="S39" s="10"/>
    </row>
    <row r="40" spans="2:19" s="41" customFormat="1" ht="13.8" x14ac:dyDescent="0.25">
      <c r="B40" s="571"/>
      <c r="C40" s="571"/>
      <c r="D40" s="571"/>
      <c r="E40" s="571"/>
      <c r="F40" s="571"/>
      <c r="G40" s="571"/>
      <c r="H40" s="571"/>
      <c r="I40" s="571"/>
      <c r="J40" s="571"/>
      <c r="K40" s="571"/>
      <c r="L40" s="571"/>
      <c r="O40" s="15"/>
      <c r="P40" s="12"/>
      <c r="Q40" s="12"/>
      <c r="R40" s="12"/>
      <c r="S40" s="10"/>
    </row>
    <row r="41" spans="2:19" s="41" customFormat="1" ht="13.8" x14ac:dyDescent="0.25">
      <c r="B41" s="571"/>
      <c r="C41" s="571"/>
      <c r="D41" s="571"/>
      <c r="E41" s="571"/>
      <c r="F41" s="571"/>
      <c r="G41" s="571"/>
      <c r="H41" s="571"/>
      <c r="I41" s="571"/>
      <c r="J41" s="571"/>
      <c r="K41" s="571"/>
      <c r="L41" s="571"/>
      <c r="O41" s="15"/>
      <c r="P41" s="12"/>
      <c r="Q41" s="12"/>
      <c r="R41" s="12"/>
      <c r="S41" s="10"/>
    </row>
    <row r="42" spans="2:19" s="41" customFormat="1" ht="13.8" x14ac:dyDescent="0.25">
      <c r="B42" s="571"/>
      <c r="C42" s="571"/>
      <c r="D42" s="571"/>
      <c r="E42" s="571"/>
      <c r="F42" s="571"/>
      <c r="G42" s="571"/>
      <c r="H42" s="571"/>
      <c r="I42" s="571"/>
      <c r="J42" s="571"/>
      <c r="K42" s="571"/>
      <c r="L42" s="571"/>
      <c r="O42" s="15"/>
      <c r="P42" s="12"/>
      <c r="Q42" s="12"/>
      <c r="R42" s="12"/>
      <c r="S42" s="10"/>
    </row>
    <row r="43" spans="2:19" s="41" customFormat="1" ht="13.8" x14ac:dyDescent="0.25">
      <c r="B43" s="571"/>
      <c r="C43" s="571"/>
      <c r="D43" s="571"/>
      <c r="E43" s="571"/>
      <c r="F43" s="571"/>
      <c r="G43" s="571"/>
      <c r="H43" s="571"/>
      <c r="I43" s="571"/>
      <c r="J43" s="571"/>
      <c r="K43" s="571"/>
      <c r="L43" s="571"/>
      <c r="O43" s="15"/>
      <c r="P43" s="12"/>
      <c r="Q43" s="12"/>
      <c r="R43" s="12"/>
      <c r="S43" s="10"/>
    </row>
    <row r="44" spans="2:19" s="41" customFormat="1" ht="13.8" x14ac:dyDescent="0.25">
      <c r="B44" s="571"/>
      <c r="C44" s="571"/>
      <c r="D44" s="571"/>
      <c r="E44" s="571"/>
      <c r="F44" s="571"/>
      <c r="G44" s="571"/>
      <c r="H44" s="571"/>
      <c r="I44" s="571"/>
      <c r="J44" s="571"/>
      <c r="K44" s="571"/>
      <c r="L44" s="571"/>
      <c r="O44" s="15"/>
      <c r="P44" s="12"/>
      <c r="Q44" s="12"/>
      <c r="R44" s="12"/>
      <c r="S44" s="10"/>
    </row>
    <row r="45" spans="2:19" s="41" customFormat="1" ht="13.8" x14ac:dyDescent="0.25">
      <c r="B45" s="571"/>
      <c r="C45" s="571"/>
      <c r="D45" s="571"/>
      <c r="E45" s="571"/>
      <c r="F45" s="571"/>
      <c r="G45" s="571"/>
      <c r="H45" s="571"/>
      <c r="I45" s="571"/>
      <c r="J45" s="571"/>
      <c r="K45" s="571"/>
      <c r="L45" s="571"/>
      <c r="O45" s="15"/>
      <c r="P45" s="12"/>
      <c r="Q45" s="12"/>
      <c r="R45" s="12"/>
      <c r="S45" s="10"/>
    </row>
    <row r="46" spans="2:19" s="41" customFormat="1" ht="13.8" x14ac:dyDescent="0.25">
      <c r="B46" s="571"/>
      <c r="C46" s="571"/>
      <c r="D46" s="571"/>
      <c r="E46" s="571"/>
      <c r="F46" s="571"/>
      <c r="G46" s="571"/>
      <c r="H46" s="571"/>
      <c r="I46" s="571"/>
      <c r="J46" s="571"/>
      <c r="K46" s="571"/>
      <c r="L46" s="571"/>
      <c r="O46" s="15"/>
      <c r="P46" s="12"/>
      <c r="Q46" s="12"/>
      <c r="R46" s="12"/>
      <c r="S46" s="10"/>
    </row>
    <row r="47" spans="2:19" s="41" customFormat="1" ht="13.8" x14ac:dyDescent="0.25">
      <c r="B47" s="571"/>
      <c r="C47" s="571"/>
      <c r="D47" s="571"/>
      <c r="E47" s="571"/>
      <c r="F47" s="571"/>
      <c r="G47" s="571"/>
      <c r="H47" s="571"/>
      <c r="I47" s="571"/>
      <c r="J47" s="571"/>
      <c r="K47" s="571"/>
      <c r="L47" s="571"/>
      <c r="O47" s="15"/>
      <c r="P47" s="12"/>
      <c r="Q47" s="12"/>
      <c r="R47" s="12"/>
      <c r="S47" s="10"/>
    </row>
    <row r="48" spans="2:19" s="41" customFormat="1" ht="13.8" x14ac:dyDescent="0.25">
      <c r="B48" s="571"/>
      <c r="C48" s="571"/>
      <c r="D48" s="571"/>
      <c r="E48" s="571"/>
      <c r="F48" s="571"/>
      <c r="G48" s="571"/>
      <c r="H48" s="571"/>
      <c r="I48" s="571"/>
      <c r="J48" s="571"/>
      <c r="K48" s="571"/>
      <c r="L48" s="571"/>
      <c r="O48" s="15"/>
      <c r="P48" s="12"/>
      <c r="Q48" s="12"/>
      <c r="R48" s="12"/>
      <c r="S48" s="10"/>
    </row>
    <row r="49" spans="1:23" s="41" customFormat="1" ht="5.25" customHeight="1" x14ac:dyDescent="0.25">
      <c r="A49" s="44"/>
      <c r="B49" s="44"/>
      <c r="C49" s="44"/>
      <c r="D49" s="44"/>
      <c r="E49" s="44"/>
      <c r="F49" s="44"/>
      <c r="G49" s="44"/>
      <c r="H49" s="45"/>
      <c r="I49" s="45"/>
      <c r="J49" s="46"/>
      <c r="K49" s="47"/>
      <c r="L49" s="47"/>
      <c r="M49" s="47"/>
      <c r="O49" s="15"/>
      <c r="P49" s="12"/>
      <c r="Q49" s="12"/>
      <c r="R49" s="12"/>
      <c r="S49" s="37"/>
    </row>
    <row r="50" spans="1:23" s="41" customFormat="1" ht="13.8" x14ac:dyDescent="0.25">
      <c r="A50" s="43"/>
      <c r="B50" s="48" t="s">
        <v>26</v>
      </c>
      <c r="D50" s="42"/>
      <c r="E50" s="42"/>
      <c r="F50" s="42"/>
      <c r="G50" s="42"/>
      <c r="H50" s="49"/>
      <c r="I50" s="50"/>
      <c r="J50" s="51"/>
      <c r="K50" s="51"/>
      <c r="O50" s="15"/>
      <c r="P50" s="12"/>
      <c r="Q50" s="12"/>
      <c r="R50" s="12"/>
      <c r="S50" s="37"/>
    </row>
    <row r="51" spans="1:23" s="41" customFormat="1" ht="13.8" x14ac:dyDescent="0.25">
      <c r="A51" s="43"/>
      <c r="B51" s="52"/>
      <c r="D51" s="42"/>
      <c r="E51" s="42"/>
      <c r="F51" s="42"/>
      <c r="G51" s="42"/>
      <c r="H51" s="53"/>
      <c r="I51" s="53" t="s">
        <v>27</v>
      </c>
      <c r="J51" s="42"/>
      <c r="L51" s="54" t="s">
        <v>28</v>
      </c>
      <c r="O51" s="15"/>
      <c r="P51" s="12"/>
      <c r="Q51" s="12"/>
      <c r="R51" s="12"/>
      <c r="S51" s="37"/>
    </row>
    <row r="52" spans="1:23" s="41" customFormat="1" ht="13.8" x14ac:dyDescent="0.25">
      <c r="A52" s="43"/>
      <c r="B52" s="55" t="s">
        <v>29</v>
      </c>
      <c r="C52" s="260" t="s">
        <v>212</v>
      </c>
      <c r="D52" s="497"/>
      <c r="E52" s="497"/>
      <c r="F52" s="497"/>
      <c r="G52" s="261"/>
      <c r="H52" s="261"/>
      <c r="I52" s="575" t="s">
        <v>19</v>
      </c>
      <c r="J52" s="575"/>
      <c r="K52" s="575"/>
      <c r="L52" s="462">
        <v>31000</v>
      </c>
      <c r="M52" s="331"/>
      <c r="N52" s="331"/>
      <c r="O52" s="43"/>
      <c r="S52" s="40"/>
    </row>
    <row r="53" spans="1:23" s="41" customFormat="1" ht="13.8" x14ac:dyDescent="0.25">
      <c r="A53" s="43"/>
      <c r="B53" s="55" t="s">
        <v>30</v>
      </c>
      <c r="C53" s="260" t="s">
        <v>350</v>
      </c>
      <c r="D53" s="497"/>
      <c r="E53" s="497"/>
      <c r="F53" s="497"/>
      <c r="G53" s="261"/>
      <c r="H53" s="261"/>
      <c r="I53" s="575" t="s">
        <v>17</v>
      </c>
      <c r="J53" s="575"/>
      <c r="K53" s="575"/>
      <c r="L53" s="220">
        <v>11000</v>
      </c>
      <c r="M53" s="331"/>
      <c r="N53" s="331"/>
      <c r="O53" s="43"/>
      <c r="S53" s="40"/>
    </row>
    <row r="54" spans="1:23" s="41" customFormat="1" ht="13.8" x14ac:dyDescent="0.25">
      <c r="A54" s="43"/>
      <c r="B54" s="55" t="s">
        <v>31</v>
      </c>
      <c r="C54" s="260" t="s">
        <v>351</v>
      </c>
      <c r="D54" s="497"/>
      <c r="E54" s="497"/>
      <c r="F54" s="497"/>
      <c r="G54" s="261"/>
      <c r="H54" s="261"/>
      <c r="I54" s="575" t="s">
        <v>13</v>
      </c>
      <c r="J54" s="575"/>
      <c r="K54" s="575"/>
      <c r="L54" s="220">
        <v>-29000</v>
      </c>
      <c r="M54" s="331"/>
      <c r="N54" s="331"/>
      <c r="O54" s="43"/>
      <c r="S54" s="40"/>
    </row>
    <row r="55" spans="1:23" s="41" customFormat="1" ht="13.8" hidden="1" x14ac:dyDescent="0.25">
      <c r="A55" s="43"/>
      <c r="B55" s="172" t="s">
        <v>32</v>
      </c>
      <c r="C55" s="588"/>
      <c r="D55" s="589"/>
      <c r="E55" s="589"/>
      <c r="F55" s="589"/>
      <c r="G55" s="589"/>
      <c r="H55" s="261"/>
      <c r="I55" s="590"/>
      <c r="J55" s="590"/>
      <c r="K55" s="590"/>
      <c r="L55" s="270"/>
      <c r="O55" s="43"/>
      <c r="S55" s="40"/>
    </row>
    <row r="56" spans="1:23" s="41" customFormat="1" ht="13.8" hidden="1" x14ac:dyDescent="0.25">
      <c r="A56" s="43"/>
      <c r="B56" s="55" t="s">
        <v>33</v>
      </c>
      <c r="C56" s="260"/>
      <c r="D56" s="253"/>
      <c r="E56" s="253"/>
      <c r="F56" s="253"/>
      <c r="G56" s="261"/>
      <c r="H56" s="261"/>
      <c r="I56" s="575"/>
      <c r="J56" s="575"/>
      <c r="K56" s="575"/>
      <c r="L56" s="220"/>
      <c r="O56" s="43"/>
      <c r="S56" s="40"/>
    </row>
    <row r="57" spans="1:23" s="62" customFormat="1" ht="14.4" thickBot="1" x14ac:dyDescent="0.3">
      <c r="A57" s="60"/>
      <c r="B57" s="61" t="s">
        <v>184</v>
      </c>
      <c r="E57" s="52"/>
      <c r="F57" s="52"/>
      <c r="G57" s="63"/>
      <c r="H57" s="51"/>
      <c r="I57" s="63"/>
      <c r="J57" s="42"/>
      <c r="L57" s="64">
        <f>SUM(L52:L56)</f>
        <v>13000</v>
      </c>
      <c r="M57" s="41"/>
      <c r="N57" s="41"/>
      <c r="O57" s="43"/>
      <c r="P57" s="41"/>
      <c r="Q57" s="41"/>
      <c r="R57" s="41"/>
      <c r="S57" s="40"/>
    </row>
    <row r="58" spans="1:23" s="41" customFormat="1" ht="8.25" customHeight="1" thickTop="1" x14ac:dyDescent="0.25">
      <c r="A58" s="65"/>
      <c r="B58" s="66"/>
      <c r="C58" s="66"/>
      <c r="D58" s="66"/>
      <c r="E58" s="66"/>
      <c r="F58" s="66"/>
      <c r="G58" s="66"/>
      <c r="H58" s="66"/>
      <c r="I58" s="66"/>
      <c r="J58" s="67"/>
      <c r="K58" s="67"/>
      <c r="L58" s="47"/>
      <c r="M58" s="47"/>
      <c r="O58" s="43"/>
      <c r="W58" s="40"/>
    </row>
    <row r="59" spans="1:23" s="41" customFormat="1" ht="3.75" customHeight="1" x14ac:dyDescent="0.25">
      <c r="A59" s="39"/>
      <c r="B59" s="68"/>
      <c r="C59" s="68"/>
      <c r="D59" s="68"/>
      <c r="E59" s="68"/>
      <c r="F59" s="68"/>
      <c r="G59" s="68"/>
      <c r="H59" s="68"/>
      <c r="I59" s="68"/>
      <c r="J59" s="69"/>
      <c r="K59" s="69"/>
      <c r="O59" s="43"/>
      <c r="W59" s="40"/>
    </row>
    <row r="60" spans="1:23" s="41" customFormat="1" ht="13.8" x14ac:dyDescent="0.25">
      <c r="A60" s="43"/>
      <c r="B60" s="6" t="s">
        <v>34</v>
      </c>
      <c r="C60" s="70"/>
      <c r="D60" s="70"/>
      <c r="E60" s="70"/>
      <c r="F60" s="70"/>
      <c r="G60" s="70"/>
      <c r="H60" s="70"/>
      <c r="I60" s="70"/>
      <c r="J60" s="89"/>
      <c r="K60" s="89"/>
      <c r="O60" s="43"/>
      <c r="W60" s="40"/>
    </row>
    <row r="61" spans="1:23" s="41" customFormat="1" ht="15" customHeight="1" x14ac:dyDescent="0.25">
      <c r="A61" s="43"/>
      <c r="B61" s="572" t="s">
        <v>401</v>
      </c>
      <c r="C61" s="572"/>
      <c r="D61" s="572"/>
      <c r="E61" s="572"/>
      <c r="F61" s="572"/>
      <c r="G61" s="572"/>
      <c r="H61" s="572"/>
      <c r="I61" s="572"/>
      <c r="J61" s="572"/>
      <c r="K61" s="572"/>
      <c r="L61" s="572"/>
      <c r="M61" s="42"/>
      <c r="N61" s="42"/>
      <c r="O61" s="42"/>
      <c r="P61" s="42"/>
      <c r="Q61" s="42"/>
      <c r="R61" s="42"/>
      <c r="W61" s="40"/>
    </row>
    <row r="62" spans="1:23" s="41" customFormat="1" ht="15" customHeight="1" x14ac:dyDescent="0.25">
      <c r="A62" s="43"/>
      <c r="B62" s="572"/>
      <c r="C62" s="572"/>
      <c r="D62" s="572"/>
      <c r="E62" s="572"/>
      <c r="F62" s="572"/>
      <c r="G62" s="572"/>
      <c r="H62" s="572"/>
      <c r="I62" s="572"/>
      <c r="J62" s="572"/>
      <c r="K62" s="572"/>
      <c r="L62" s="572"/>
      <c r="M62" s="254"/>
      <c r="N62" s="254"/>
      <c r="O62" s="254"/>
      <c r="P62" s="254"/>
      <c r="Q62" s="254"/>
      <c r="R62" s="254"/>
      <c r="W62" s="40"/>
    </row>
    <row r="63" spans="1:23" s="41" customFormat="1" ht="15" customHeight="1" x14ac:dyDescent="0.25">
      <c r="A63" s="43"/>
      <c r="B63" s="572"/>
      <c r="C63" s="572"/>
      <c r="D63" s="572"/>
      <c r="E63" s="572"/>
      <c r="F63" s="572"/>
      <c r="G63" s="572"/>
      <c r="H63" s="572"/>
      <c r="I63" s="572"/>
      <c r="J63" s="572"/>
      <c r="K63" s="572"/>
      <c r="L63" s="572"/>
      <c r="M63" s="254"/>
      <c r="N63" s="254"/>
      <c r="O63" s="254"/>
      <c r="P63" s="254"/>
      <c r="Q63" s="254"/>
      <c r="R63" s="254"/>
      <c r="W63" s="40"/>
    </row>
    <row r="64" spans="1:23" s="41" customFormat="1" ht="8.25" customHeight="1" thickBot="1" x14ac:dyDescent="0.3">
      <c r="A64" s="77"/>
      <c r="B64" s="78"/>
      <c r="C64" s="78"/>
      <c r="D64" s="78"/>
      <c r="E64" s="78"/>
      <c r="F64" s="78"/>
      <c r="G64" s="78"/>
      <c r="H64" s="78"/>
      <c r="I64" s="78"/>
      <c r="J64" s="79"/>
      <c r="K64" s="79"/>
      <c r="L64" s="80"/>
      <c r="M64" s="80"/>
      <c r="O64" s="43"/>
      <c r="W64" s="40"/>
    </row>
    <row r="65" spans="1:23" s="41" customFormat="1" ht="6.75" customHeight="1" x14ac:dyDescent="0.25">
      <c r="A65" s="39"/>
      <c r="B65" s="68"/>
      <c r="C65" s="68"/>
      <c r="D65" s="68"/>
      <c r="E65" s="68"/>
      <c r="F65" s="68"/>
      <c r="G65" s="68"/>
      <c r="H65" s="68"/>
      <c r="I65" s="68"/>
      <c r="J65" s="69"/>
      <c r="K65" s="69"/>
      <c r="O65" s="43"/>
      <c r="W65" s="40"/>
    </row>
    <row r="66" spans="1:23" ht="13.8" x14ac:dyDescent="0.25">
      <c r="B66" s="48"/>
      <c r="L66" s="41"/>
      <c r="M66" s="41"/>
      <c r="N66" s="41"/>
      <c r="O66" s="43"/>
      <c r="P66" s="41"/>
      <c r="Q66" s="41"/>
      <c r="R66" s="41"/>
      <c r="S66" s="59"/>
    </row>
  </sheetData>
  <mergeCells count="8">
    <mergeCell ref="B23:L48"/>
    <mergeCell ref="B61:L63"/>
    <mergeCell ref="I52:K52"/>
    <mergeCell ref="I56:K56"/>
    <mergeCell ref="I54:K54"/>
    <mergeCell ref="I53:K53"/>
    <mergeCell ref="C55:G55"/>
    <mergeCell ref="I55:K55"/>
  </mergeCells>
  <dataValidations count="3">
    <dataValidation type="list" allowBlank="1" showInputMessage="1" showErrorMessage="1" sqref="G52:G54 G56">
      <formula1>$O$17:$O$19</formula1>
    </dataValidation>
    <dataValidation allowBlank="1" showErrorMessage="1" promptTitle="Do not change" sqref="B51"/>
    <dataValidation type="list" allowBlank="1" showInputMessage="1" showErrorMessage="1" sqref="I52:K56">
      <formula1>$O$3:$O$21</formula1>
    </dataValidation>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W123"/>
  <sheetViews>
    <sheetView showGridLines="0" topLeftCell="A56" zoomScaleNormal="100" workbookViewId="0">
      <selection activeCell="C67" sqref="C67"/>
    </sheetView>
  </sheetViews>
  <sheetFormatPr defaultColWidth="9.109375" defaultRowHeight="13.2" x14ac:dyDescent="0.25"/>
  <cols>
    <col min="1" max="1" width="0.88671875" style="83" customWidth="1"/>
    <col min="2" max="2" width="3"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168</v>
      </c>
      <c r="B1" s="2"/>
      <c r="C1" s="2"/>
      <c r="D1" s="2"/>
      <c r="E1" s="2"/>
      <c r="F1" s="2"/>
      <c r="G1" s="2"/>
      <c r="H1" s="2"/>
      <c r="I1" s="2"/>
      <c r="J1" s="2"/>
      <c r="K1" s="2"/>
      <c r="L1" s="2"/>
      <c r="M1" s="2"/>
      <c r="O1" s="4"/>
      <c r="P1" s="4"/>
      <c r="Q1" s="4"/>
      <c r="R1" s="4"/>
      <c r="S1" s="5"/>
      <c r="T1" s="83" t="s">
        <v>235</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26191801</v>
      </c>
      <c r="F5" s="18">
        <v>28715531</v>
      </c>
      <c r="G5" s="18">
        <v>34567496</v>
      </c>
      <c r="I5" s="86" t="s">
        <v>38</v>
      </c>
      <c r="J5" s="73"/>
      <c r="K5" s="73"/>
      <c r="L5" s="73">
        <v>0</v>
      </c>
      <c r="O5" s="15" t="s">
        <v>4</v>
      </c>
      <c r="S5" s="10">
        <f t="shared" si="0"/>
        <v>0</v>
      </c>
    </row>
    <row r="6" spans="1:20" x14ac:dyDescent="0.25">
      <c r="B6" s="16" t="s">
        <v>7</v>
      </c>
      <c r="C6" s="17"/>
      <c r="D6" s="12"/>
      <c r="E6" s="18">
        <v>17425825</v>
      </c>
      <c r="F6" s="18">
        <v>19497415</v>
      </c>
      <c r="G6" s="18">
        <f>+G5-12762855</f>
        <v>21804641</v>
      </c>
      <c r="I6" s="87" t="s">
        <v>39</v>
      </c>
      <c r="J6" s="18">
        <v>-81000</v>
      </c>
      <c r="K6" s="18">
        <v>0</v>
      </c>
      <c r="L6" s="18">
        <v>-315000</v>
      </c>
      <c r="O6" s="15" t="s">
        <v>6</v>
      </c>
      <c r="S6" s="10">
        <f t="shared" si="0"/>
        <v>280000</v>
      </c>
    </row>
    <row r="7" spans="1:20" x14ac:dyDescent="0.25">
      <c r="B7" s="21" t="s">
        <v>9</v>
      </c>
      <c r="C7" s="22"/>
      <c r="D7" s="23"/>
      <c r="E7" s="24">
        <v>17460109</v>
      </c>
      <c r="F7" s="24">
        <v>18919841</v>
      </c>
      <c r="G7" s="24">
        <f>G6-L6</f>
        <v>22119641</v>
      </c>
      <c r="I7" s="87" t="s">
        <v>40</v>
      </c>
      <c r="J7" s="18">
        <v>-255000</v>
      </c>
      <c r="K7" s="18">
        <v>-191000</v>
      </c>
      <c r="L7" s="18">
        <f>+L102</f>
        <v>-249500</v>
      </c>
      <c r="O7" s="15" t="s">
        <v>8</v>
      </c>
      <c r="P7" s="20"/>
      <c r="S7" s="10">
        <f t="shared" si="0"/>
        <v>0</v>
      </c>
    </row>
    <row r="8" spans="1:20" x14ac:dyDescent="0.25">
      <c r="B8" s="26" t="s">
        <v>11</v>
      </c>
      <c r="C8" s="27"/>
      <c r="D8" s="28"/>
      <c r="E8" s="29">
        <v>-34284</v>
      </c>
      <c r="F8" s="29">
        <v>577574</v>
      </c>
      <c r="G8" s="29">
        <f>G6-G7</f>
        <v>-315000</v>
      </c>
      <c r="I8" s="88" t="s">
        <v>43</v>
      </c>
      <c r="J8" s="74">
        <f>E8</f>
        <v>-34284</v>
      </c>
      <c r="K8" s="74">
        <f>F8</f>
        <v>577574</v>
      </c>
      <c r="L8" s="74"/>
      <c r="O8" s="15" t="s">
        <v>10</v>
      </c>
      <c r="P8" s="25"/>
      <c r="S8" s="10">
        <f t="shared" si="0"/>
        <v>0</v>
      </c>
    </row>
    <row r="9" spans="1:20" x14ac:dyDescent="0.25">
      <c r="B9" s="32" t="s">
        <v>37</v>
      </c>
      <c r="C9" s="33"/>
      <c r="D9" s="23"/>
      <c r="E9" s="34">
        <f>IF(ISERROR(IF(E8=0,"",(E8/$E$5))),"",(IF(E8=0,"",(E8/$E$5))))</f>
        <v>-1.3089592426271106E-3</v>
      </c>
      <c r="F9" s="34">
        <f>IF(ISERROR(IF(F8=0,"",(F8/$F$5))),"",(IF(F8=0,"",(F8/$F$5))))</f>
        <v>2.0113645121171538E-2</v>
      </c>
      <c r="G9" s="34">
        <f>IF(ISERROR(IF(G8=0,"",(G8/$G$5))),"",(IF(G8=0,"",(G8/$G$5))))</f>
        <v>-9.1126068257880184E-3</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-195500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-334000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-249500</v>
      </c>
    </row>
    <row r="23" spans="1:19" s="41" customFormat="1" ht="15" customHeight="1" x14ac:dyDescent="0.25">
      <c r="A23" s="39"/>
      <c r="B23" s="571" t="s">
        <v>423</v>
      </c>
      <c r="C23" s="571"/>
      <c r="D23" s="571"/>
      <c r="E23" s="571"/>
      <c r="F23" s="571"/>
      <c r="G23" s="571"/>
      <c r="H23" s="571"/>
      <c r="I23" s="571"/>
      <c r="J23" s="571"/>
      <c r="K23" s="571"/>
      <c r="L23" s="571"/>
      <c r="O23" s="15"/>
      <c r="P23" s="12"/>
      <c r="Q23" s="12"/>
      <c r="R23" s="12"/>
      <c r="S23" s="10"/>
    </row>
    <row r="24" spans="1:19" s="41" customFormat="1" ht="15" customHeight="1" x14ac:dyDescent="0.25">
      <c r="A24" s="39"/>
      <c r="B24" s="571"/>
      <c r="C24" s="571"/>
      <c r="D24" s="571"/>
      <c r="E24" s="571"/>
      <c r="F24" s="571"/>
      <c r="G24" s="571"/>
      <c r="H24" s="571"/>
      <c r="I24" s="571"/>
      <c r="J24" s="571"/>
      <c r="K24" s="571"/>
      <c r="L24" s="571"/>
      <c r="O24" s="15"/>
      <c r="P24" s="12"/>
      <c r="Q24" s="12"/>
      <c r="R24" s="12"/>
      <c r="S24" s="10"/>
    </row>
    <row r="25" spans="1:19" s="41" customFormat="1" ht="15" customHeight="1" x14ac:dyDescent="0.25">
      <c r="A25" s="39"/>
      <c r="B25" s="571"/>
      <c r="C25" s="571"/>
      <c r="D25" s="571"/>
      <c r="E25" s="571"/>
      <c r="F25" s="571"/>
      <c r="G25" s="571"/>
      <c r="H25" s="571"/>
      <c r="I25" s="571"/>
      <c r="J25" s="571"/>
      <c r="K25" s="571"/>
      <c r="L25" s="571"/>
      <c r="O25" s="15"/>
      <c r="P25" s="12"/>
      <c r="Q25" s="12"/>
      <c r="R25" s="12"/>
      <c r="S25" s="10"/>
    </row>
    <row r="26" spans="1:19" s="41" customFormat="1" ht="15" customHeight="1" x14ac:dyDescent="0.25">
      <c r="A26" s="39"/>
      <c r="B26" s="571"/>
      <c r="C26" s="571"/>
      <c r="D26" s="571"/>
      <c r="E26" s="571"/>
      <c r="F26" s="571"/>
      <c r="G26" s="571"/>
      <c r="H26" s="571"/>
      <c r="I26" s="571"/>
      <c r="J26" s="571"/>
      <c r="K26" s="571"/>
      <c r="L26" s="571"/>
      <c r="O26" s="15"/>
      <c r="P26" s="12"/>
      <c r="Q26" s="12"/>
      <c r="R26" s="12"/>
      <c r="S26" s="10"/>
    </row>
    <row r="27" spans="1:19" s="41" customFormat="1" ht="15" customHeight="1" x14ac:dyDescent="0.25">
      <c r="A27" s="39"/>
      <c r="B27" s="571"/>
      <c r="C27" s="571"/>
      <c r="D27" s="571"/>
      <c r="E27" s="571"/>
      <c r="F27" s="571"/>
      <c r="G27" s="571"/>
      <c r="H27" s="571"/>
      <c r="I27" s="571"/>
      <c r="J27" s="571"/>
      <c r="K27" s="571"/>
      <c r="L27" s="571"/>
      <c r="O27" s="15"/>
      <c r="P27" s="12"/>
      <c r="Q27" s="12"/>
      <c r="R27" s="12"/>
      <c r="S27" s="10"/>
    </row>
    <row r="28" spans="1:19" s="41" customFormat="1" ht="15" customHeight="1" x14ac:dyDescent="0.25">
      <c r="A28" s="39"/>
      <c r="B28" s="571"/>
      <c r="C28" s="571"/>
      <c r="D28" s="571"/>
      <c r="E28" s="571"/>
      <c r="F28" s="571"/>
      <c r="G28" s="571"/>
      <c r="H28" s="571"/>
      <c r="I28" s="571"/>
      <c r="J28" s="571"/>
      <c r="K28" s="571"/>
      <c r="L28" s="571"/>
      <c r="O28" s="15"/>
      <c r="P28" s="12"/>
      <c r="Q28" s="12"/>
      <c r="R28" s="12"/>
      <c r="S28" s="10"/>
    </row>
    <row r="29" spans="1:19" s="41" customFormat="1" ht="15" customHeight="1" x14ac:dyDescent="0.25">
      <c r="A29" s="39"/>
      <c r="B29" s="571"/>
      <c r="C29" s="571"/>
      <c r="D29" s="571"/>
      <c r="E29" s="571"/>
      <c r="F29" s="571"/>
      <c r="G29" s="571"/>
      <c r="H29" s="571"/>
      <c r="I29" s="571"/>
      <c r="J29" s="571"/>
      <c r="K29" s="571"/>
      <c r="L29" s="571"/>
      <c r="O29" s="15"/>
      <c r="P29" s="12"/>
      <c r="Q29" s="12"/>
      <c r="R29" s="12"/>
      <c r="S29" s="10"/>
    </row>
    <row r="30" spans="1:19" s="41" customFormat="1" ht="15" customHeight="1" x14ac:dyDescent="0.25">
      <c r="A30" s="39"/>
      <c r="B30" s="571"/>
      <c r="C30" s="571"/>
      <c r="D30" s="571"/>
      <c r="E30" s="571"/>
      <c r="F30" s="571"/>
      <c r="G30" s="571"/>
      <c r="H30" s="571"/>
      <c r="I30" s="571"/>
      <c r="J30" s="571"/>
      <c r="K30" s="571"/>
      <c r="L30" s="571"/>
      <c r="O30" s="15"/>
      <c r="P30" s="12"/>
      <c r="Q30" s="12"/>
      <c r="R30" s="12"/>
      <c r="S30" s="10"/>
    </row>
    <row r="31" spans="1:19" s="41" customFormat="1" ht="15" customHeight="1" x14ac:dyDescent="0.25">
      <c r="A31" s="39"/>
      <c r="B31" s="571"/>
      <c r="C31" s="571"/>
      <c r="D31" s="571"/>
      <c r="E31" s="571"/>
      <c r="F31" s="571"/>
      <c r="G31" s="571"/>
      <c r="H31" s="571"/>
      <c r="I31" s="571"/>
      <c r="J31" s="571"/>
      <c r="K31" s="571"/>
      <c r="L31" s="571"/>
      <c r="O31" s="15"/>
      <c r="P31" s="12"/>
      <c r="Q31" s="12"/>
      <c r="R31" s="12"/>
      <c r="S31" s="10"/>
    </row>
    <row r="32" spans="1:19" s="41" customFormat="1" ht="15" customHeight="1" x14ac:dyDescent="0.25">
      <c r="A32" s="39"/>
      <c r="B32" s="571"/>
      <c r="C32" s="571"/>
      <c r="D32" s="571"/>
      <c r="E32" s="571"/>
      <c r="F32" s="571"/>
      <c r="G32" s="571"/>
      <c r="H32" s="571"/>
      <c r="I32" s="571"/>
      <c r="J32" s="571"/>
      <c r="K32" s="571"/>
      <c r="L32" s="571"/>
      <c r="O32" s="15"/>
      <c r="P32" s="12"/>
      <c r="Q32" s="12"/>
      <c r="R32" s="12"/>
      <c r="S32" s="10"/>
    </row>
    <row r="33" spans="1:19" s="41" customFormat="1" ht="15" customHeight="1" x14ac:dyDescent="0.25">
      <c r="A33" s="39"/>
      <c r="B33" s="571"/>
      <c r="C33" s="571"/>
      <c r="D33" s="571"/>
      <c r="E33" s="571"/>
      <c r="F33" s="571"/>
      <c r="G33" s="571"/>
      <c r="H33" s="571"/>
      <c r="I33" s="571"/>
      <c r="J33" s="571"/>
      <c r="K33" s="571"/>
      <c r="L33" s="571"/>
      <c r="O33" s="15"/>
      <c r="P33" s="12"/>
      <c r="Q33" s="12"/>
      <c r="R33" s="12"/>
      <c r="S33" s="10"/>
    </row>
    <row r="34" spans="1:19" s="41" customFormat="1" ht="15" customHeight="1" x14ac:dyDescent="0.25">
      <c r="A34" s="39"/>
      <c r="B34" s="571"/>
      <c r="C34" s="571"/>
      <c r="D34" s="571"/>
      <c r="E34" s="571"/>
      <c r="F34" s="571"/>
      <c r="G34" s="571"/>
      <c r="H34" s="571"/>
      <c r="I34" s="571"/>
      <c r="J34" s="571"/>
      <c r="K34" s="571"/>
      <c r="L34" s="571"/>
      <c r="O34" s="15"/>
      <c r="P34" s="12"/>
      <c r="Q34" s="12"/>
      <c r="R34" s="12"/>
      <c r="S34" s="10"/>
    </row>
    <row r="35" spans="1:19" s="41" customFormat="1" ht="15" customHeight="1" x14ac:dyDescent="0.25">
      <c r="A35" s="39"/>
      <c r="B35" s="571"/>
      <c r="C35" s="571"/>
      <c r="D35" s="571"/>
      <c r="E35" s="571"/>
      <c r="F35" s="571"/>
      <c r="G35" s="571"/>
      <c r="H35" s="571"/>
      <c r="I35" s="571"/>
      <c r="J35" s="571"/>
      <c r="K35" s="571"/>
      <c r="L35" s="571"/>
      <c r="O35" s="15"/>
      <c r="P35" s="12"/>
      <c r="Q35" s="12"/>
      <c r="R35" s="12"/>
      <c r="S35" s="10"/>
    </row>
    <row r="36" spans="1:19" s="41" customFormat="1" ht="13.8" x14ac:dyDescent="0.25">
      <c r="A36" s="39"/>
      <c r="B36" s="571"/>
      <c r="C36" s="571"/>
      <c r="D36" s="571"/>
      <c r="E36" s="571"/>
      <c r="F36" s="571"/>
      <c r="G36" s="571"/>
      <c r="H36" s="571"/>
      <c r="I36" s="571"/>
      <c r="J36" s="571"/>
      <c r="K36" s="571"/>
      <c r="L36" s="571"/>
      <c r="O36" s="15"/>
      <c r="P36" s="12"/>
      <c r="Q36" s="12"/>
      <c r="R36" s="12"/>
      <c r="S36" s="10"/>
    </row>
    <row r="37" spans="1:19" s="41" customFormat="1" ht="13.8" x14ac:dyDescent="0.25">
      <c r="A37" s="39"/>
      <c r="B37" s="571"/>
      <c r="C37" s="571"/>
      <c r="D37" s="571"/>
      <c r="E37" s="571"/>
      <c r="F37" s="571"/>
      <c r="G37" s="571"/>
      <c r="H37" s="571"/>
      <c r="I37" s="571"/>
      <c r="J37" s="571"/>
      <c r="K37" s="571"/>
      <c r="L37" s="571"/>
      <c r="O37" s="15"/>
      <c r="P37" s="12"/>
      <c r="Q37" s="12"/>
      <c r="R37" s="12"/>
      <c r="S37" s="10"/>
    </row>
    <row r="38" spans="1:19" s="41" customFormat="1" ht="13.8" x14ac:dyDescent="0.25">
      <c r="A38" s="39"/>
      <c r="B38" s="571"/>
      <c r="C38" s="571"/>
      <c r="D38" s="571"/>
      <c r="E38" s="571"/>
      <c r="F38" s="571"/>
      <c r="G38" s="571"/>
      <c r="H38" s="571"/>
      <c r="I38" s="571"/>
      <c r="J38" s="571"/>
      <c r="K38" s="571"/>
      <c r="L38" s="571"/>
      <c r="O38" s="15"/>
      <c r="P38" s="12"/>
      <c r="Q38" s="12"/>
      <c r="R38" s="12"/>
      <c r="S38" s="10"/>
    </row>
    <row r="39" spans="1:19" s="41" customFormat="1" ht="13.8" x14ac:dyDescent="0.25">
      <c r="A39" s="39"/>
      <c r="B39" s="571"/>
      <c r="C39" s="571"/>
      <c r="D39" s="571"/>
      <c r="E39" s="571"/>
      <c r="F39" s="571"/>
      <c r="G39" s="571"/>
      <c r="H39" s="571"/>
      <c r="I39" s="571"/>
      <c r="J39" s="571"/>
      <c r="K39" s="571"/>
      <c r="L39" s="571"/>
      <c r="O39" s="15"/>
      <c r="P39" s="12"/>
      <c r="Q39" s="12"/>
      <c r="R39" s="12"/>
      <c r="S39" s="10"/>
    </row>
    <row r="40" spans="1:19" s="41" customFormat="1" ht="13.8" x14ac:dyDescent="0.25">
      <c r="A40" s="39"/>
      <c r="B40" s="571"/>
      <c r="C40" s="571"/>
      <c r="D40" s="571"/>
      <c r="E40" s="571"/>
      <c r="F40" s="571"/>
      <c r="G40" s="571"/>
      <c r="H40" s="571"/>
      <c r="I40" s="571"/>
      <c r="J40" s="571"/>
      <c r="K40" s="571"/>
      <c r="L40" s="571"/>
      <c r="O40" s="15"/>
      <c r="P40" s="12"/>
      <c r="Q40" s="12"/>
      <c r="R40" s="12"/>
      <c r="S40" s="10"/>
    </row>
    <row r="41" spans="1:19" s="41" customFormat="1" ht="13.8" x14ac:dyDescent="0.25">
      <c r="A41" s="39"/>
      <c r="B41" s="571"/>
      <c r="C41" s="571"/>
      <c r="D41" s="571"/>
      <c r="E41" s="571"/>
      <c r="F41" s="571"/>
      <c r="G41" s="571"/>
      <c r="H41" s="571"/>
      <c r="I41" s="571"/>
      <c r="J41" s="571"/>
      <c r="K41" s="571"/>
      <c r="L41" s="571"/>
      <c r="O41" s="15"/>
      <c r="P41" s="12"/>
      <c r="Q41" s="12"/>
      <c r="R41" s="12"/>
      <c r="S41" s="10"/>
    </row>
    <row r="42" spans="1:19" s="41" customFormat="1" ht="13.8" x14ac:dyDescent="0.25">
      <c r="A42" s="39"/>
      <c r="B42" s="571"/>
      <c r="C42" s="571"/>
      <c r="D42" s="571"/>
      <c r="E42" s="571"/>
      <c r="F42" s="571"/>
      <c r="G42" s="571"/>
      <c r="H42" s="571"/>
      <c r="I42" s="571"/>
      <c r="J42" s="571"/>
      <c r="K42" s="571"/>
      <c r="L42" s="571"/>
      <c r="O42" s="15"/>
      <c r="P42" s="12"/>
      <c r="Q42" s="12"/>
      <c r="R42" s="12"/>
      <c r="S42" s="10"/>
    </row>
    <row r="43" spans="1:19" s="41" customFormat="1" ht="13.8" x14ac:dyDescent="0.25">
      <c r="A43" s="39"/>
      <c r="B43" s="571"/>
      <c r="C43" s="571"/>
      <c r="D43" s="571"/>
      <c r="E43" s="571"/>
      <c r="F43" s="571"/>
      <c r="G43" s="571"/>
      <c r="H43" s="571"/>
      <c r="I43" s="571"/>
      <c r="J43" s="571"/>
      <c r="K43" s="571"/>
      <c r="L43" s="571"/>
      <c r="O43" s="15"/>
      <c r="P43" s="12"/>
      <c r="Q43" s="12"/>
      <c r="R43" s="12"/>
      <c r="S43" s="10"/>
    </row>
    <row r="44" spans="1:19" s="41" customFormat="1" ht="13.8" x14ac:dyDescent="0.25">
      <c r="A44" s="39"/>
      <c r="B44" s="571"/>
      <c r="C44" s="571"/>
      <c r="D44" s="571"/>
      <c r="E44" s="571"/>
      <c r="F44" s="571"/>
      <c r="G44" s="571"/>
      <c r="H44" s="571"/>
      <c r="I44" s="571"/>
      <c r="J44" s="571"/>
      <c r="K44" s="571"/>
      <c r="L44" s="571"/>
      <c r="O44" s="15"/>
      <c r="P44" s="12"/>
      <c r="Q44" s="12"/>
      <c r="R44" s="12"/>
      <c r="S44" s="10"/>
    </row>
    <row r="45" spans="1:19" s="41" customFormat="1" ht="13.8" x14ac:dyDescent="0.25">
      <c r="A45" s="39"/>
      <c r="B45" s="571"/>
      <c r="C45" s="571"/>
      <c r="D45" s="571"/>
      <c r="E45" s="571"/>
      <c r="F45" s="571"/>
      <c r="G45" s="571"/>
      <c r="H45" s="571"/>
      <c r="I45" s="571"/>
      <c r="J45" s="571"/>
      <c r="K45" s="571"/>
      <c r="L45" s="571"/>
      <c r="O45" s="15"/>
      <c r="P45" s="12"/>
      <c r="Q45" s="12"/>
      <c r="R45" s="12"/>
      <c r="S45" s="10"/>
    </row>
    <row r="46" spans="1:19" s="41" customFormat="1" ht="13.8" x14ac:dyDescent="0.25">
      <c r="A46" s="39"/>
      <c r="B46" s="571"/>
      <c r="C46" s="571"/>
      <c r="D46" s="571"/>
      <c r="E46" s="571"/>
      <c r="F46" s="571"/>
      <c r="G46" s="571"/>
      <c r="H46" s="571"/>
      <c r="I46" s="571"/>
      <c r="J46" s="571"/>
      <c r="K46" s="571"/>
      <c r="L46" s="571"/>
      <c r="O46" s="15"/>
      <c r="P46" s="12"/>
      <c r="Q46" s="12"/>
      <c r="R46" s="12"/>
      <c r="S46" s="10"/>
    </row>
    <row r="47" spans="1:19" s="41" customFormat="1" ht="13.8" x14ac:dyDescent="0.25">
      <c r="A47" s="39"/>
      <c r="B47" s="571"/>
      <c r="C47" s="571"/>
      <c r="D47" s="571"/>
      <c r="E47" s="571"/>
      <c r="F47" s="571"/>
      <c r="G47" s="571"/>
      <c r="H47" s="571"/>
      <c r="I47" s="571"/>
      <c r="J47" s="571"/>
      <c r="K47" s="571"/>
      <c r="L47" s="571"/>
      <c r="O47" s="15"/>
      <c r="P47" s="12"/>
      <c r="Q47" s="12"/>
      <c r="R47" s="12"/>
      <c r="S47" s="10"/>
    </row>
    <row r="48" spans="1:19" s="41" customFormat="1" ht="13.8" x14ac:dyDescent="0.25">
      <c r="A48" s="39"/>
      <c r="B48" s="571"/>
      <c r="C48" s="571"/>
      <c r="D48" s="571"/>
      <c r="E48" s="571"/>
      <c r="F48" s="571"/>
      <c r="G48" s="571"/>
      <c r="H48" s="571"/>
      <c r="I48" s="571"/>
      <c r="J48" s="571"/>
      <c r="K48" s="571"/>
      <c r="L48" s="571"/>
      <c r="O48" s="15"/>
      <c r="P48" s="12"/>
      <c r="Q48" s="12"/>
      <c r="R48" s="12"/>
      <c r="S48" s="10"/>
    </row>
    <row r="49" spans="1:19" s="41" customFormat="1" ht="13.8" x14ac:dyDescent="0.25">
      <c r="A49" s="39"/>
      <c r="B49" s="571"/>
      <c r="C49" s="571"/>
      <c r="D49" s="571"/>
      <c r="E49" s="571"/>
      <c r="F49" s="571"/>
      <c r="G49" s="571"/>
      <c r="H49" s="571"/>
      <c r="I49" s="571"/>
      <c r="J49" s="571"/>
      <c r="K49" s="571"/>
      <c r="L49" s="571"/>
      <c r="O49" s="15"/>
      <c r="P49" s="12"/>
      <c r="Q49" s="12"/>
      <c r="R49" s="12"/>
      <c r="S49" s="10"/>
    </row>
    <row r="50" spans="1:19" s="41" customFormat="1" ht="13.8" x14ac:dyDescent="0.25">
      <c r="A50" s="39"/>
      <c r="B50" s="571"/>
      <c r="C50" s="571"/>
      <c r="D50" s="571"/>
      <c r="E50" s="571"/>
      <c r="F50" s="571"/>
      <c r="G50" s="571"/>
      <c r="H50" s="571"/>
      <c r="I50" s="571"/>
      <c r="J50" s="571"/>
      <c r="K50" s="571"/>
      <c r="L50" s="571"/>
      <c r="O50" s="15"/>
      <c r="P50" s="12"/>
      <c r="Q50" s="12"/>
      <c r="R50" s="12"/>
      <c r="S50" s="10"/>
    </row>
    <row r="51" spans="1:19" s="41" customFormat="1" ht="13.8" x14ac:dyDescent="0.25">
      <c r="A51" s="39"/>
      <c r="B51" s="571"/>
      <c r="C51" s="571"/>
      <c r="D51" s="571"/>
      <c r="E51" s="571"/>
      <c r="F51" s="571"/>
      <c r="G51" s="571"/>
      <c r="H51" s="571"/>
      <c r="I51" s="571"/>
      <c r="J51" s="571"/>
      <c r="K51" s="571"/>
      <c r="L51" s="571"/>
      <c r="O51" s="15"/>
      <c r="P51" s="12"/>
      <c r="Q51" s="12"/>
      <c r="R51" s="12"/>
      <c r="S51" s="10"/>
    </row>
    <row r="52" spans="1:19" s="41" customFormat="1" ht="13.8" x14ac:dyDescent="0.25">
      <c r="A52" s="39"/>
      <c r="B52" s="571"/>
      <c r="C52" s="571"/>
      <c r="D52" s="571"/>
      <c r="E52" s="571"/>
      <c r="F52" s="571"/>
      <c r="G52" s="571"/>
      <c r="H52" s="571"/>
      <c r="I52" s="571"/>
      <c r="J52" s="571"/>
      <c r="K52" s="571"/>
      <c r="L52" s="571"/>
      <c r="O52" s="15"/>
      <c r="P52" s="12"/>
      <c r="Q52" s="12"/>
      <c r="R52" s="12"/>
      <c r="S52" s="10"/>
    </row>
    <row r="53" spans="1:19" s="41" customFormat="1" ht="13.8" x14ac:dyDescent="0.25">
      <c r="A53" s="39"/>
      <c r="B53" s="571"/>
      <c r="C53" s="571"/>
      <c r="D53" s="571"/>
      <c r="E53" s="571"/>
      <c r="F53" s="571"/>
      <c r="G53" s="571"/>
      <c r="H53" s="571"/>
      <c r="I53" s="571"/>
      <c r="J53" s="571"/>
      <c r="K53" s="571"/>
      <c r="L53" s="571"/>
      <c r="O53" s="15"/>
      <c r="P53" s="12"/>
      <c r="Q53" s="12"/>
      <c r="R53" s="12"/>
      <c r="S53" s="10"/>
    </row>
    <row r="54" spans="1:19" s="41" customFormat="1" ht="13.8" x14ac:dyDescent="0.25">
      <c r="A54" s="39"/>
      <c r="B54" s="571"/>
      <c r="C54" s="571"/>
      <c r="D54" s="571"/>
      <c r="E54" s="571"/>
      <c r="F54" s="571"/>
      <c r="G54" s="571"/>
      <c r="H54" s="571"/>
      <c r="I54" s="571"/>
      <c r="J54" s="571"/>
      <c r="K54" s="571"/>
      <c r="L54" s="571"/>
      <c r="O54" s="15"/>
      <c r="P54" s="12"/>
      <c r="Q54" s="12"/>
      <c r="R54" s="12"/>
      <c r="S54" s="10"/>
    </row>
    <row r="55" spans="1:19" s="41" customFormat="1" ht="13.8" x14ac:dyDescent="0.25">
      <c r="A55" s="39"/>
      <c r="B55" s="571"/>
      <c r="C55" s="571"/>
      <c r="D55" s="571"/>
      <c r="E55" s="571"/>
      <c r="F55" s="571"/>
      <c r="G55" s="571"/>
      <c r="H55" s="571"/>
      <c r="I55" s="571"/>
      <c r="J55" s="571"/>
      <c r="K55" s="571"/>
      <c r="L55" s="571"/>
      <c r="O55" s="15"/>
      <c r="P55" s="12"/>
      <c r="Q55" s="12"/>
      <c r="R55" s="12"/>
      <c r="S55" s="10"/>
    </row>
    <row r="56" spans="1:19" s="41" customFormat="1" ht="13.8" x14ac:dyDescent="0.25">
      <c r="A56" s="39"/>
      <c r="B56" s="571"/>
      <c r="C56" s="571"/>
      <c r="D56" s="571"/>
      <c r="E56" s="571"/>
      <c r="F56" s="571"/>
      <c r="G56" s="571"/>
      <c r="H56" s="571"/>
      <c r="I56" s="571"/>
      <c r="J56" s="571"/>
      <c r="K56" s="571"/>
      <c r="L56" s="571"/>
      <c r="O56" s="15"/>
      <c r="P56" s="12"/>
      <c r="Q56" s="12"/>
      <c r="R56" s="12"/>
      <c r="S56" s="10"/>
    </row>
    <row r="57" spans="1:19" s="41" customFormat="1" ht="13.8" x14ac:dyDescent="0.25">
      <c r="A57" s="39"/>
      <c r="B57" s="571"/>
      <c r="C57" s="571"/>
      <c r="D57" s="571"/>
      <c r="E57" s="571"/>
      <c r="F57" s="571"/>
      <c r="G57" s="571"/>
      <c r="H57" s="571"/>
      <c r="I57" s="571"/>
      <c r="J57" s="571"/>
      <c r="K57" s="571"/>
      <c r="L57" s="571"/>
      <c r="O57" s="15"/>
      <c r="P57" s="12"/>
      <c r="Q57" s="12"/>
      <c r="R57" s="12"/>
      <c r="S57" s="10"/>
    </row>
    <row r="58" spans="1:19" s="41" customFormat="1" ht="13.8" x14ac:dyDescent="0.25">
      <c r="A58" s="39"/>
      <c r="B58" s="571"/>
      <c r="C58" s="571"/>
      <c r="D58" s="571"/>
      <c r="E58" s="571"/>
      <c r="F58" s="571"/>
      <c r="G58" s="571"/>
      <c r="H58" s="571"/>
      <c r="I58" s="571"/>
      <c r="J58" s="571"/>
      <c r="K58" s="571"/>
      <c r="L58" s="571"/>
      <c r="O58" s="15"/>
      <c r="P58" s="12"/>
      <c r="Q58" s="12"/>
      <c r="R58" s="12"/>
      <c r="S58" s="10"/>
    </row>
    <row r="59" spans="1:19" s="41" customFormat="1" ht="13.8" x14ac:dyDescent="0.25">
      <c r="A59" s="39"/>
      <c r="B59" s="571"/>
      <c r="C59" s="571"/>
      <c r="D59" s="571"/>
      <c r="E59" s="571"/>
      <c r="F59" s="571"/>
      <c r="G59" s="571"/>
      <c r="H59" s="571"/>
      <c r="I59" s="571"/>
      <c r="J59" s="571"/>
      <c r="K59" s="571"/>
      <c r="L59" s="571"/>
      <c r="O59" s="15"/>
      <c r="P59" s="12"/>
      <c r="Q59" s="12"/>
      <c r="R59" s="12"/>
      <c r="S59" s="10"/>
    </row>
    <row r="60" spans="1:19" s="41" customFormat="1" ht="13.8" x14ac:dyDescent="0.25">
      <c r="A60" s="39"/>
      <c r="B60" s="571"/>
      <c r="C60" s="571"/>
      <c r="D60" s="571"/>
      <c r="E60" s="571"/>
      <c r="F60" s="571"/>
      <c r="G60" s="571"/>
      <c r="H60" s="571"/>
      <c r="I60" s="571"/>
      <c r="J60" s="571"/>
      <c r="K60" s="571"/>
      <c r="L60" s="571"/>
      <c r="O60" s="15"/>
      <c r="P60" s="12"/>
      <c r="Q60" s="12"/>
      <c r="R60" s="12"/>
      <c r="S60" s="10"/>
    </row>
    <row r="61" spans="1:19" s="41" customFormat="1" ht="13.8" x14ac:dyDescent="0.25">
      <c r="A61" s="39"/>
      <c r="B61" s="571"/>
      <c r="C61" s="571"/>
      <c r="D61" s="571"/>
      <c r="E61" s="571"/>
      <c r="F61" s="571"/>
      <c r="G61" s="571"/>
      <c r="H61" s="571"/>
      <c r="I61" s="571"/>
      <c r="J61" s="571"/>
      <c r="K61" s="571"/>
      <c r="L61" s="571"/>
      <c r="O61" s="15"/>
      <c r="P61" s="12"/>
      <c r="Q61" s="12"/>
      <c r="R61" s="12"/>
      <c r="S61" s="10"/>
    </row>
    <row r="62" spans="1:19" s="41" customFormat="1" ht="13.8" x14ac:dyDescent="0.25">
      <c r="A62" s="39"/>
      <c r="B62" s="571"/>
      <c r="C62" s="571"/>
      <c r="D62" s="571"/>
      <c r="E62" s="571"/>
      <c r="F62" s="571"/>
      <c r="G62" s="571"/>
      <c r="H62" s="571"/>
      <c r="I62" s="571"/>
      <c r="J62" s="571"/>
      <c r="K62" s="571"/>
      <c r="L62" s="571"/>
      <c r="O62" s="15"/>
      <c r="P62" s="12"/>
      <c r="Q62" s="12"/>
      <c r="R62" s="12"/>
      <c r="S62" s="10"/>
    </row>
    <row r="63" spans="1:19" s="41" customFormat="1" ht="13.8" x14ac:dyDescent="0.25">
      <c r="A63" s="39"/>
      <c r="B63" s="571"/>
      <c r="C63" s="571"/>
      <c r="D63" s="571"/>
      <c r="E63" s="571"/>
      <c r="F63" s="571"/>
      <c r="G63" s="571"/>
      <c r="H63" s="571"/>
      <c r="I63" s="571"/>
      <c r="J63" s="571"/>
      <c r="K63" s="571"/>
      <c r="L63" s="571"/>
      <c r="O63" s="15"/>
      <c r="P63" s="12"/>
      <c r="Q63" s="12"/>
      <c r="R63" s="12"/>
      <c r="S63" s="10"/>
    </row>
    <row r="64" spans="1:19" s="41" customFormat="1" ht="13.8" x14ac:dyDescent="0.25">
      <c r="A64" s="39"/>
      <c r="B64" s="571"/>
      <c r="C64" s="571"/>
      <c r="D64" s="571"/>
      <c r="E64" s="571"/>
      <c r="F64" s="571"/>
      <c r="G64" s="571"/>
      <c r="H64" s="571"/>
      <c r="I64" s="571"/>
      <c r="J64" s="571"/>
      <c r="K64" s="571"/>
      <c r="L64" s="571"/>
      <c r="O64" s="15"/>
      <c r="P64" s="12"/>
      <c r="Q64" s="12"/>
      <c r="R64" s="12"/>
      <c r="S64" s="10"/>
    </row>
    <row r="65" spans="1:19" s="41" customFormat="1" ht="13.8" x14ac:dyDescent="0.25">
      <c r="A65" s="39"/>
      <c r="B65" s="571"/>
      <c r="C65" s="571"/>
      <c r="D65" s="571"/>
      <c r="E65" s="571"/>
      <c r="F65" s="571"/>
      <c r="G65" s="571"/>
      <c r="H65" s="571"/>
      <c r="I65" s="571"/>
      <c r="J65" s="571"/>
      <c r="K65" s="571"/>
      <c r="L65" s="571"/>
      <c r="O65" s="15"/>
      <c r="P65" s="12"/>
      <c r="Q65" s="12"/>
      <c r="R65" s="12"/>
      <c r="S65" s="10"/>
    </row>
    <row r="66" spans="1:19" s="41" customFormat="1" ht="13.8" x14ac:dyDescent="0.25">
      <c r="A66" s="39"/>
      <c r="B66" s="571"/>
      <c r="C66" s="571"/>
      <c r="D66" s="571"/>
      <c r="E66" s="571"/>
      <c r="F66" s="571"/>
      <c r="G66" s="571"/>
      <c r="H66" s="571"/>
      <c r="I66" s="571"/>
      <c r="J66" s="571"/>
      <c r="K66" s="571"/>
      <c r="L66" s="571"/>
      <c r="O66" s="15"/>
      <c r="P66" s="12"/>
      <c r="Q66" s="12"/>
      <c r="R66" s="12"/>
      <c r="S66" s="10"/>
    </row>
    <row r="67" spans="1:19" s="41" customFormat="1" ht="13.8" x14ac:dyDescent="0.25">
      <c r="A67" s="39"/>
      <c r="B67" s="571"/>
      <c r="C67" s="571"/>
      <c r="D67" s="571"/>
      <c r="E67" s="571"/>
      <c r="F67" s="571"/>
      <c r="G67" s="571"/>
      <c r="H67" s="571"/>
      <c r="I67" s="571"/>
      <c r="J67" s="571"/>
      <c r="K67" s="571"/>
      <c r="L67" s="571"/>
      <c r="O67" s="15"/>
      <c r="P67" s="12"/>
      <c r="Q67" s="12"/>
      <c r="R67" s="12"/>
      <c r="S67" s="10"/>
    </row>
    <row r="68" spans="1:19" s="41" customFormat="1" ht="13.8" x14ac:dyDescent="0.25">
      <c r="A68" s="39"/>
      <c r="B68" s="571"/>
      <c r="C68" s="571"/>
      <c r="D68" s="571"/>
      <c r="E68" s="571"/>
      <c r="F68" s="571"/>
      <c r="G68" s="571"/>
      <c r="H68" s="571"/>
      <c r="I68" s="571"/>
      <c r="J68" s="571"/>
      <c r="K68" s="571"/>
      <c r="L68" s="571"/>
      <c r="O68" s="15"/>
      <c r="P68" s="12"/>
      <c r="Q68" s="12"/>
      <c r="R68" s="12"/>
      <c r="S68" s="10"/>
    </row>
    <row r="69" spans="1:19" s="41" customFormat="1" ht="13.8" x14ac:dyDescent="0.25">
      <c r="A69" s="39"/>
      <c r="B69" s="571"/>
      <c r="C69" s="571"/>
      <c r="D69" s="571"/>
      <c r="E69" s="571"/>
      <c r="F69" s="571"/>
      <c r="G69" s="571"/>
      <c r="H69" s="571"/>
      <c r="I69" s="571"/>
      <c r="J69" s="571"/>
      <c r="K69" s="571"/>
      <c r="L69" s="571"/>
      <c r="O69" s="15"/>
      <c r="P69" s="12"/>
      <c r="Q69" s="12"/>
      <c r="R69" s="12"/>
      <c r="S69" s="10"/>
    </row>
    <row r="70" spans="1:19" s="41" customFormat="1" ht="13.8" x14ac:dyDescent="0.25">
      <c r="A70" s="39"/>
      <c r="B70" s="571"/>
      <c r="C70" s="571"/>
      <c r="D70" s="571"/>
      <c r="E70" s="571"/>
      <c r="F70" s="571"/>
      <c r="G70" s="571"/>
      <c r="H70" s="571"/>
      <c r="I70" s="571"/>
      <c r="J70" s="571"/>
      <c r="K70" s="571"/>
      <c r="L70" s="571"/>
      <c r="O70" s="15"/>
      <c r="P70" s="12"/>
      <c r="Q70" s="12"/>
      <c r="R70" s="12"/>
      <c r="S70" s="10"/>
    </row>
    <row r="71" spans="1:19" s="41" customFormat="1" ht="13.8" x14ac:dyDescent="0.25">
      <c r="A71" s="39"/>
      <c r="B71" s="571"/>
      <c r="C71" s="571"/>
      <c r="D71" s="571"/>
      <c r="E71" s="571"/>
      <c r="F71" s="571"/>
      <c r="G71" s="571"/>
      <c r="H71" s="571"/>
      <c r="I71" s="571"/>
      <c r="J71" s="571"/>
      <c r="K71" s="571"/>
      <c r="L71" s="571"/>
      <c r="O71" s="15"/>
      <c r="P71" s="12"/>
      <c r="Q71" s="12"/>
      <c r="R71" s="12"/>
      <c r="S71" s="10"/>
    </row>
    <row r="72" spans="1:19" s="41" customFormat="1" ht="13.8" x14ac:dyDescent="0.25">
      <c r="A72" s="39"/>
      <c r="B72" s="571"/>
      <c r="C72" s="571"/>
      <c r="D72" s="571"/>
      <c r="E72" s="571"/>
      <c r="F72" s="571"/>
      <c r="G72" s="571"/>
      <c r="H72" s="571"/>
      <c r="I72" s="571"/>
      <c r="J72" s="571"/>
      <c r="K72" s="571"/>
      <c r="L72" s="571"/>
      <c r="O72" s="15"/>
      <c r="P72" s="12"/>
      <c r="Q72" s="12"/>
      <c r="R72" s="12"/>
      <c r="S72" s="10"/>
    </row>
    <row r="73" spans="1:19" s="41" customFormat="1" ht="13.8" x14ac:dyDescent="0.25">
      <c r="A73" s="39"/>
      <c r="B73" s="571"/>
      <c r="C73" s="571"/>
      <c r="D73" s="571"/>
      <c r="E73" s="571"/>
      <c r="F73" s="571"/>
      <c r="G73" s="571"/>
      <c r="H73" s="571"/>
      <c r="I73" s="571"/>
      <c r="J73" s="571"/>
      <c r="K73" s="571"/>
      <c r="L73" s="571"/>
      <c r="O73" s="15"/>
      <c r="P73" s="12"/>
      <c r="Q73" s="12"/>
      <c r="R73" s="12"/>
      <c r="S73" s="10"/>
    </row>
    <row r="74" spans="1:19" s="41" customFormat="1" ht="13.8" x14ac:dyDescent="0.25">
      <c r="A74" s="39"/>
      <c r="B74" s="571"/>
      <c r="C74" s="571"/>
      <c r="D74" s="571"/>
      <c r="E74" s="571"/>
      <c r="F74" s="571"/>
      <c r="G74" s="571"/>
      <c r="H74" s="571"/>
      <c r="I74" s="571"/>
      <c r="J74" s="571"/>
      <c r="K74" s="571"/>
      <c r="L74" s="571"/>
      <c r="O74" s="15"/>
      <c r="P74" s="12"/>
      <c r="Q74" s="12"/>
      <c r="R74" s="12"/>
      <c r="S74" s="10"/>
    </row>
    <row r="75" spans="1:19" s="41" customFormat="1" ht="13.8" x14ac:dyDescent="0.25">
      <c r="A75" s="39"/>
      <c r="B75" s="571"/>
      <c r="C75" s="571"/>
      <c r="D75" s="571"/>
      <c r="E75" s="571"/>
      <c r="F75" s="571"/>
      <c r="G75" s="571"/>
      <c r="H75" s="571"/>
      <c r="I75" s="571"/>
      <c r="J75" s="571"/>
      <c r="K75" s="571"/>
      <c r="L75" s="571"/>
      <c r="O75" s="15"/>
      <c r="P75" s="12"/>
      <c r="Q75" s="12"/>
      <c r="R75" s="12"/>
      <c r="S75" s="10"/>
    </row>
    <row r="76" spans="1:19" s="41" customFormat="1" ht="13.8" x14ac:dyDescent="0.25">
      <c r="A76" s="39"/>
      <c r="B76" s="571"/>
      <c r="C76" s="571"/>
      <c r="D76" s="571"/>
      <c r="E76" s="571"/>
      <c r="F76" s="571"/>
      <c r="G76" s="571"/>
      <c r="H76" s="571"/>
      <c r="I76" s="571"/>
      <c r="J76" s="571"/>
      <c r="K76" s="571"/>
      <c r="L76" s="571"/>
      <c r="O76" s="15"/>
      <c r="P76" s="12"/>
      <c r="Q76" s="12"/>
      <c r="R76" s="12"/>
      <c r="S76" s="10"/>
    </row>
    <row r="77" spans="1:19" s="41" customFormat="1" ht="13.8" x14ac:dyDescent="0.25">
      <c r="A77" s="39"/>
      <c r="B77" s="571"/>
      <c r="C77" s="571"/>
      <c r="D77" s="571"/>
      <c r="E77" s="571"/>
      <c r="F77" s="571"/>
      <c r="G77" s="571"/>
      <c r="H77" s="571"/>
      <c r="I77" s="571"/>
      <c r="J77" s="571"/>
      <c r="K77" s="571"/>
      <c r="L77" s="571"/>
      <c r="O77" s="15"/>
      <c r="P77" s="12"/>
      <c r="Q77" s="12"/>
      <c r="R77" s="12"/>
      <c r="S77" s="10"/>
    </row>
    <row r="78" spans="1:19" s="41" customFormat="1" ht="13.8" x14ac:dyDescent="0.25">
      <c r="A78" s="39"/>
      <c r="B78" s="571"/>
      <c r="C78" s="571"/>
      <c r="D78" s="571"/>
      <c r="E78" s="571"/>
      <c r="F78" s="571"/>
      <c r="G78" s="571"/>
      <c r="H78" s="571"/>
      <c r="I78" s="571"/>
      <c r="J78" s="571"/>
      <c r="K78" s="571"/>
      <c r="L78" s="571"/>
      <c r="O78" s="15"/>
      <c r="P78" s="12"/>
      <c r="Q78" s="12"/>
      <c r="R78" s="12"/>
      <c r="S78" s="10"/>
    </row>
    <row r="79" spans="1:19" s="41" customFormat="1" ht="13.8" x14ac:dyDescent="0.25">
      <c r="A79" s="39"/>
      <c r="B79" s="571"/>
      <c r="C79" s="571"/>
      <c r="D79" s="571"/>
      <c r="E79" s="571"/>
      <c r="F79" s="571"/>
      <c r="G79" s="571"/>
      <c r="H79" s="571"/>
      <c r="I79" s="571"/>
      <c r="J79" s="571"/>
      <c r="K79" s="571"/>
      <c r="L79" s="571"/>
      <c r="O79" s="15"/>
      <c r="P79" s="12"/>
      <c r="Q79" s="12"/>
      <c r="R79" s="12"/>
      <c r="S79" s="10"/>
    </row>
    <row r="80" spans="1:19" s="41" customFormat="1" ht="13.8" x14ac:dyDescent="0.25">
      <c r="A80" s="39"/>
      <c r="B80" s="571"/>
      <c r="C80" s="571"/>
      <c r="D80" s="571"/>
      <c r="E80" s="571"/>
      <c r="F80" s="571"/>
      <c r="G80" s="571"/>
      <c r="H80" s="571"/>
      <c r="I80" s="571"/>
      <c r="J80" s="571"/>
      <c r="K80" s="571"/>
      <c r="L80" s="571"/>
      <c r="O80" s="15"/>
      <c r="P80" s="12"/>
      <c r="Q80" s="12"/>
      <c r="R80" s="12"/>
      <c r="S80" s="10"/>
    </row>
    <row r="81" spans="1:19" s="41" customFormat="1" ht="13.8" x14ac:dyDescent="0.25">
      <c r="A81" s="39"/>
      <c r="B81" s="571"/>
      <c r="C81" s="571"/>
      <c r="D81" s="571"/>
      <c r="E81" s="571"/>
      <c r="F81" s="571"/>
      <c r="G81" s="571"/>
      <c r="H81" s="571"/>
      <c r="I81" s="571"/>
      <c r="J81" s="571"/>
      <c r="K81" s="571"/>
      <c r="L81" s="571"/>
      <c r="O81" s="15"/>
      <c r="P81" s="12"/>
      <c r="Q81" s="12"/>
      <c r="R81" s="12"/>
      <c r="S81" s="10"/>
    </row>
    <row r="82" spans="1:19" s="41" customFormat="1" ht="13.8" x14ac:dyDescent="0.25">
      <c r="A82" s="44"/>
      <c r="B82" s="44"/>
      <c r="C82" s="44"/>
      <c r="D82" s="44"/>
      <c r="E82" s="44"/>
      <c r="F82" s="44"/>
      <c r="G82" s="44"/>
      <c r="H82" s="45"/>
      <c r="I82" s="45"/>
      <c r="J82" s="46"/>
      <c r="K82" s="47"/>
      <c r="L82" s="47"/>
      <c r="M82" s="47"/>
      <c r="O82" s="15"/>
      <c r="P82" s="12"/>
      <c r="Q82" s="12"/>
      <c r="R82" s="12"/>
      <c r="S82" s="37"/>
    </row>
    <row r="83" spans="1:19" s="41" customFormat="1" ht="13.8" x14ac:dyDescent="0.25">
      <c r="A83" s="43"/>
      <c r="B83" s="48" t="s">
        <v>26</v>
      </c>
      <c r="D83" s="42"/>
      <c r="E83" s="42"/>
      <c r="F83" s="42"/>
      <c r="G83" s="42"/>
      <c r="H83" s="49"/>
      <c r="I83" s="50"/>
      <c r="J83" s="51"/>
      <c r="K83" s="51"/>
      <c r="O83" s="15"/>
      <c r="P83" s="12"/>
      <c r="Q83" s="12"/>
      <c r="R83" s="12"/>
      <c r="S83" s="37"/>
    </row>
    <row r="84" spans="1:19" s="41" customFormat="1" ht="13.8" x14ac:dyDescent="0.25">
      <c r="A84" s="43"/>
      <c r="B84" s="184"/>
      <c r="D84" s="42"/>
      <c r="E84" s="42"/>
      <c r="F84" s="42"/>
      <c r="G84" s="42"/>
      <c r="H84" s="53"/>
      <c r="I84" s="53" t="s">
        <v>27</v>
      </c>
      <c r="J84" s="42"/>
      <c r="L84" s="54" t="s">
        <v>28</v>
      </c>
      <c r="O84" s="15"/>
      <c r="P84" s="12"/>
      <c r="Q84" s="12"/>
      <c r="R84" s="12"/>
      <c r="S84" s="37"/>
    </row>
    <row r="85" spans="1:19" s="41" customFormat="1" ht="13.8" x14ac:dyDescent="0.25">
      <c r="A85" s="43"/>
      <c r="B85" s="415" t="s">
        <v>243</v>
      </c>
      <c r="D85" s="254"/>
      <c r="E85" s="254"/>
      <c r="F85" s="254"/>
      <c r="G85" s="254"/>
      <c r="H85" s="53"/>
      <c r="I85" s="53"/>
      <c r="J85" s="254"/>
      <c r="L85" s="54"/>
      <c r="O85" s="15"/>
      <c r="P85" s="12"/>
      <c r="Q85" s="12"/>
      <c r="R85" s="12"/>
      <c r="S85" s="37"/>
    </row>
    <row r="86" spans="1:19" s="41" customFormat="1" ht="13.8" x14ac:dyDescent="0.25">
      <c r="A86" s="43"/>
      <c r="B86" s="259" t="s">
        <v>29</v>
      </c>
      <c r="C86" s="264" t="s">
        <v>365</v>
      </c>
      <c r="D86" s="253"/>
      <c r="E86" s="253"/>
      <c r="F86" s="253"/>
      <c r="G86" s="253"/>
      <c r="H86" s="265"/>
      <c r="I86" s="261" t="s">
        <v>6</v>
      </c>
      <c r="J86" s="261"/>
      <c r="K86" s="261"/>
      <c r="L86" s="278">
        <v>280000</v>
      </c>
      <c r="M86" s="331" t="s">
        <v>202</v>
      </c>
      <c r="O86" s="43"/>
      <c r="S86" s="40"/>
    </row>
    <row r="87" spans="1:19" s="41" customFormat="1" ht="13.8" x14ac:dyDescent="0.25">
      <c r="A87" s="43"/>
      <c r="B87" s="259" t="s">
        <v>30</v>
      </c>
      <c r="C87" s="507" t="s">
        <v>392</v>
      </c>
      <c r="D87" s="504"/>
      <c r="E87" s="504"/>
      <c r="F87" s="504"/>
      <c r="G87" s="504"/>
      <c r="H87" s="265"/>
      <c r="I87" s="261" t="s">
        <v>19</v>
      </c>
      <c r="J87" s="261"/>
      <c r="K87" s="261"/>
      <c r="L87" s="379">
        <v>65000</v>
      </c>
      <c r="M87" s="331"/>
      <c r="O87" s="43"/>
      <c r="S87" s="40"/>
    </row>
    <row r="88" spans="1:19" s="41" customFormat="1" ht="13.8" x14ac:dyDescent="0.25">
      <c r="A88" s="43"/>
      <c r="B88" s="259" t="s">
        <v>31</v>
      </c>
      <c r="C88" s="264" t="s">
        <v>419</v>
      </c>
      <c r="D88" s="253"/>
      <c r="E88" s="253"/>
      <c r="F88" s="253"/>
      <c r="G88" s="253"/>
      <c r="H88" s="265"/>
      <c r="I88" s="261" t="s">
        <v>16</v>
      </c>
      <c r="J88" s="261"/>
      <c r="K88" s="261"/>
      <c r="L88" s="379">
        <v>-58000</v>
      </c>
      <c r="M88" s="331" t="s">
        <v>202</v>
      </c>
      <c r="O88" s="43"/>
      <c r="S88" s="40"/>
    </row>
    <row r="89" spans="1:19" s="41" customFormat="1" ht="13.8" x14ac:dyDescent="0.25">
      <c r="A89" s="43"/>
      <c r="B89" s="259" t="s">
        <v>32</v>
      </c>
      <c r="C89" s="264" t="s">
        <v>393</v>
      </c>
      <c r="D89" s="253"/>
      <c r="E89" s="253"/>
      <c r="F89" s="253"/>
      <c r="G89" s="253"/>
      <c r="H89" s="265"/>
      <c r="I89" s="261" t="s">
        <v>19</v>
      </c>
      <c r="J89" s="261"/>
      <c r="K89" s="261"/>
      <c r="L89" s="279">
        <v>-260000</v>
      </c>
      <c r="M89" s="331" t="s">
        <v>202</v>
      </c>
      <c r="O89" s="43"/>
      <c r="S89" s="40"/>
    </row>
    <row r="90" spans="1:19" s="41" customFormat="1" ht="16.5" customHeight="1" x14ac:dyDescent="0.25">
      <c r="A90" s="43"/>
      <c r="B90" s="259" t="s">
        <v>33</v>
      </c>
      <c r="C90" s="280" t="s">
        <v>394</v>
      </c>
      <c r="D90" s="253"/>
      <c r="E90" s="253"/>
      <c r="F90" s="253"/>
      <c r="G90" s="253"/>
      <c r="H90" s="265"/>
      <c r="I90" s="498" t="s">
        <v>16</v>
      </c>
      <c r="J90" s="266"/>
      <c r="K90" s="266"/>
      <c r="L90" s="379">
        <v>-283500</v>
      </c>
      <c r="M90" s="331" t="s">
        <v>202</v>
      </c>
      <c r="O90" s="43"/>
      <c r="S90" s="40"/>
    </row>
    <row r="91" spans="1:19" s="41" customFormat="1" ht="16.5" hidden="1" customHeight="1" x14ac:dyDescent="0.25">
      <c r="A91" s="43"/>
      <c r="B91" s="259" t="s">
        <v>181</v>
      </c>
      <c r="C91" s="280"/>
      <c r="D91" s="474"/>
      <c r="E91" s="474"/>
      <c r="F91" s="474"/>
      <c r="G91" s="474"/>
      <c r="H91" s="265"/>
      <c r="I91" s="473"/>
      <c r="J91" s="472"/>
      <c r="K91" s="472"/>
      <c r="L91" s="379"/>
      <c r="M91" s="331"/>
      <c r="O91" s="43"/>
      <c r="S91" s="40"/>
    </row>
    <row r="92" spans="1:19" s="41" customFormat="1" ht="16.5" hidden="1" customHeight="1" x14ac:dyDescent="0.25">
      <c r="A92" s="43"/>
      <c r="B92" s="259" t="s">
        <v>182</v>
      </c>
      <c r="C92" s="280"/>
      <c r="D92" s="474"/>
      <c r="E92" s="474"/>
      <c r="F92" s="474"/>
      <c r="G92" s="474"/>
      <c r="H92" s="265"/>
      <c r="I92" s="473"/>
      <c r="J92" s="472"/>
      <c r="K92" s="472"/>
      <c r="L92" s="339"/>
      <c r="M92" s="331"/>
      <c r="O92" s="43"/>
      <c r="S92" s="40"/>
    </row>
    <row r="93" spans="1:19" s="41" customFormat="1" ht="16.5" customHeight="1" x14ac:dyDescent="0.25">
      <c r="A93" s="43"/>
      <c r="B93" s="259"/>
      <c r="C93" s="383" t="s">
        <v>244</v>
      </c>
      <c r="D93" s="310"/>
      <c r="E93" s="310"/>
      <c r="F93" s="310"/>
      <c r="G93" s="310"/>
      <c r="H93" s="265"/>
      <c r="I93" s="309"/>
      <c r="J93" s="308"/>
      <c r="K93" s="308"/>
      <c r="L93" s="467">
        <f>SUM(L86:L92)</f>
        <v>-256500</v>
      </c>
      <c r="M93" s="331"/>
      <c r="O93" s="43"/>
      <c r="S93" s="40"/>
    </row>
    <row r="94" spans="1:19" s="41" customFormat="1" ht="16.5" customHeight="1" x14ac:dyDescent="0.25">
      <c r="A94" s="43"/>
      <c r="B94" s="416" t="s">
        <v>222</v>
      </c>
      <c r="C94" s="280"/>
      <c r="D94" s="310"/>
      <c r="E94" s="310"/>
      <c r="F94" s="310"/>
      <c r="G94" s="310"/>
      <c r="H94" s="265"/>
      <c r="I94" s="309"/>
      <c r="J94" s="308"/>
      <c r="K94" s="308"/>
      <c r="L94" s="279"/>
      <c r="M94" s="331"/>
      <c r="O94" s="43"/>
      <c r="S94" s="40"/>
    </row>
    <row r="95" spans="1:19" s="41" customFormat="1" ht="16.5" customHeight="1" x14ac:dyDescent="0.25">
      <c r="A95" s="43"/>
      <c r="B95" s="259" t="s">
        <v>181</v>
      </c>
      <c r="C95" s="280" t="s">
        <v>367</v>
      </c>
      <c r="D95" s="307"/>
      <c r="E95" s="307"/>
      <c r="F95" s="307"/>
      <c r="G95" s="307"/>
      <c r="H95" s="265"/>
      <c r="I95" s="498" t="s">
        <v>16</v>
      </c>
      <c r="J95" s="305"/>
      <c r="K95" s="305"/>
      <c r="L95" s="278">
        <v>150000</v>
      </c>
      <c r="O95" s="43"/>
      <c r="S95" s="40"/>
    </row>
    <row r="96" spans="1:19" s="41" customFormat="1" ht="16.5" customHeight="1" x14ac:dyDescent="0.25">
      <c r="A96" s="43"/>
      <c r="B96" s="259" t="s">
        <v>182</v>
      </c>
      <c r="C96" s="280" t="s">
        <v>368</v>
      </c>
      <c r="D96" s="474"/>
      <c r="E96" s="474"/>
      <c r="F96" s="474"/>
      <c r="G96" s="474"/>
      <c r="H96" s="265"/>
      <c r="I96" s="498" t="s">
        <v>16</v>
      </c>
      <c r="J96" s="472"/>
      <c r="K96" s="472"/>
      <c r="L96" s="379">
        <v>28000</v>
      </c>
      <c r="O96" s="43"/>
      <c r="S96" s="40"/>
    </row>
    <row r="97" spans="1:23" s="41" customFormat="1" ht="16.5" customHeight="1" x14ac:dyDescent="0.25">
      <c r="A97" s="43"/>
      <c r="B97" s="259" t="s">
        <v>183</v>
      </c>
      <c r="C97" s="264" t="s">
        <v>366</v>
      </c>
      <c r="D97" s="310"/>
      <c r="E97" s="310"/>
      <c r="F97" s="310"/>
      <c r="G97" s="310"/>
      <c r="H97" s="265"/>
      <c r="I97" s="261" t="s">
        <v>16</v>
      </c>
      <c r="J97" s="261"/>
      <c r="K97" s="261"/>
      <c r="L97" s="279">
        <f>-32000</f>
        <v>-32000</v>
      </c>
      <c r="O97" s="43"/>
      <c r="S97" s="40"/>
    </row>
    <row r="98" spans="1:23" s="41" customFormat="1" ht="16.5" customHeight="1" x14ac:dyDescent="0.25">
      <c r="A98" s="43"/>
      <c r="B98" s="259" t="s">
        <v>225</v>
      </c>
      <c r="C98" s="280" t="s">
        <v>19</v>
      </c>
      <c r="D98" s="307"/>
      <c r="E98" s="307"/>
      <c r="F98" s="307"/>
      <c r="G98" s="307"/>
      <c r="H98" s="265"/>
      <c r="I98" s="498" t="s">
        <v>19</v>
      </c>
      <c r="J98" s="305"/>
      <c r="K98" s="305"/>
      <c r="L98" s="279">
        <v>-139000</v>
      </c>
      <c r="O98" s="43"/>
      <c r="S98" s="40"/>
    </row>
    <row r="99" spans="1:23" s="41" customFormat="1" ht="16.5" hidden="1" customHeight="1" x14ac:dyDescent="0.25">
      <c r="A99" s="43"/>
      <c r="B99" s="259" t="s">
        <v>287</v>
      </c>
      <c r="C99" s="280"/>
      <c r="D99" s="474"/>
      <c r="E99" s="474"/>
      <c r="F99" s="474"/>
      <c r="G99" s="474"/>
      <c r="H99" s="265"/>
      <c r="I99" s="473"/>
      <c r="J99" s="472"/>
      <c r="K99" s="472"/>
      <c r="L99" s="379"/>
      <c r="O99" s="43"/>
      <c r="S99" s="40"/>
    </row>
    <row r="100" spans="1:23" s="41" customFormat="1" ht="16.5" customHeight="1" x14ac:dyDescent="0.25">
      <c r="A100" s="43"/>
      <c r="B100" s="259"/>
      <c r="C100" s="383" t="s">
        <v>245</v>
      </c>
      <c r="D100" s="307"/>
      <c r="E100" s="307"/>
      <c r="F100" s="307"/>
      <c r="G100" s="307"/>
      <c r="H100" s="265"/>
      <c r="I100" s="306"/>
      <c r="J100" s="305"/>
      <c r="K100" s="305"/>
      <c r="L100" s="467">
        <f>SUM(L95:M99)</f>
        <v>7000</v>
      </c>
      <c r="O100" s="43"/>
      <c r="S100" s="40"/>
    </row>
    <row r="101" spans="1:23" s="41" customFormat="1" ht="16.5" customHeight="1" x14ac:dyDescent="0.25">
      <c r="A101" s="43"/>
      <c r="B101" s="259"/>
      <c r="C101" s="280"/>
      <c r="D101" s="310"/>
      <c r="E101" s="310"/>
      <c r="F101" s="310"/>
      <c r="G101" s="310"/>
      <c r="H101" s="265"/>
      <c r="I101" s="309"/>
      <c r="J101" s="308"/>
      <c r="K101" s="308"/>
      <c r="L101" s="279"/>
      <c r="O101" s="43"/>
      <c r="S101" s="40"/>
    </row>
    <row r="102" spans="1:23" s="62" customFormat="1" ht="14.4" thickBot="1" x14ac:dyDescent="0.3">
      <c r="A102" s="60"/>
      <c r="B102" s="61" t="s">
        <v>184</v>
      </c>
      <c r="E102" s="52"/>
      <c r="F102" s="52"/>
      <c r="G102" s="63"/>
      <c r="H102" s="51"/>
      <c r="I102" s="63"/>
      <c r="J102" s="42"/>
      <c r="L102" s="64">
        <f>+L93+L100</f>
        <v>-249500</v>
      </c>
      <c r="M102" s="41"/>
      <c r="N102" s="41"/>
      <c r="O102" s="43"/>
      <c r="P102" s="41"/>
      <c r="Q102" s="41"/>
      <c r="R102" s="41"/>
      <c r="S102" s="40"/>
    </row>
    <row r="103" spans="1:23" s="41" customFormat="1" ht="8.25" customHeight="1" thickTop="1" x14ac:dyDescent="0.25">
      <c r="A103" s="65"/>
      <c r="B103" s="66"/>
      <c r="C103" s="66"/>
      <c r="D103" s="66"/>
      <c r="E103" s="66"/>
      <c r="F103" s="66"/>
      <c r="G103" s="66"/>
      <c r="H103" s="66"/>
      <c r="I103" s="66"/>
      <c r="J103" s="67"/>
      <c r="K103" s="67"/>
      <c r="L103" s="47"/>
      <c r="M103" s="47"/>
      <c r="O103" s="43"/>
      <c r="W103" s="40"/>
    </row>
    <row r="104" spans="1:23" s="41" customFormat="1" ht="3.75" customHeight="1" x14ac:dyDescent="0.25">
      <c r="A104" s="39"/>
      <c r="B104" s="68"/>
      <c r="C104" s="68"/>
      <c r="D104" s="68"/>
      <c r="E104" s="68"/>
      <c r="F104" s="68"/>
      <c r="G104" s="68"/>
      <c r="H104" s="68"/>
      <c r="I104" s="68"/>
      <c r="J104" s="69"/>
      <c r="K104" s="69"/>
      <c r="O104" s="43"/>
      <c r="W104" s="40"/>
    </row>
    <row r="105" spans="1:23" s="41" customFormat="1" ht="13.8" x14ac:dyDescent="0.25">
      <c r="A105" s="43"/>
      <c r="B105" s="6" t="s">
        <v>34</v>
      </c>
      <c r="C105" s="70"/>
      <c r="D105" s="70"/>
      <c r="E105" s="70"/>
      <c r="F105" s="70"/>
      <c r="G105" s="70"/>
      <c r="H105" s="70"/>
      <c r="I105" s="70"/>
      <c r="J105" s="89"/>
      <c r="K105" s="89"/>
      <c r="O105" s="43"/>
      <c r="W105" s="40"/>
    </row>
    <row r="106" spans="1:23" ht="12.75" customHeight="1" x14ac:dyDescent="0.25">
      <c r="B106" s="591" t="s">
        <v>377</v>
      </c>
      <c r="C106" s="592"/>
      <c r="D106" s="592"/>
      <c r="E106" s="592"/>
      <c r="F106" s="592"/>
      <c r="G106" s="592"/>
      <c r="H106" s="592"/>
      <c r="I106" s="592"/>
      <c r="J106" s="592"/>
      <c r="K106" s="592"/>
      <c r="L106" s="592"/>
    </row>
    <row r="107" spans="1:23" ht="12.75" customHeight="1" x14ac:dyDescent="0.25">
      <c r="B107" s="592"/>
      <c r="C107" s="592"/>
      <c r="D107" s="592"/>
      <c r="E107" s="592"/>
      <c r="F107" s="592"/>
      <c r="G107" s="592"/>
      <c r="H107" s="592"/>
      <c r="I107" s="592"/>
      <c r="J107" s="592"/>
      <c r="K107" s="592"/>
      <c r="L107" s="592"/>
    </row>
    <row r="108" spans="1:23" ht="12.75" customHeight="1" x14ac:dyDescent="0.25">
      <c r="B108" s="592"/>
      <c r="C108" s="592"/>
      <c r="D108" s="592"/>
      <c r="E108" s="592"/>
      <c r="F108" s="592"/>
      <c r="G108" s="592"/>
      <c r="H108" s="592"/>
      <c r="I108" s="592"/>
      <c r="J108" s="592"/>
      <c r="K108" s="592"/>
      <c r="L108" s="592"/>
    </row>
    <row r="109" spans="1:23" ht="12.75" customHeight="1" x14ac:dyDescent="0.25">
      <c r="B109" s="592"/>
      <c r="C109" s="592"/>
      <c r="D109" s="592"/>
      <c r="E109" s="592"/>
      <c r="F109" s="592"/>
      <c r="G109" s="592"/>
      <c r="H109" s="592"/>
      <c r="I109" s="592"/>
      <c r="J109" s="592"/>
      <c r="K109" s="592"/>
      <c r="L109" s="592"/>
    </row>
    <row r="110" spans="1:23" ht="12.75" customHeight="1" x14ac:dyDescent="0.25">
      <c r="B110" s="592"/>
      <c r="C110" s="592"/>
      <c r="D110" s="592"/>
      <c r="E110" s="592"/>
      <c r="F110" s="592"/>
      <c r="G110" s="592"/>
      <c r="H110" s="592"/>
      <c r="I110" s="592"/>
      <c r="J110" s="592"/>
      <c r="K110" s="592"/>
      <c r="L110" s="592"/>
    </row>
    <row r="111" spans="1:23" ht="12.75" customHeight="1" x14ac:dyDescent="0.25">
      <c r="B111" s="592"/>
      <c r="C111" s="592"/>
      <c r="D111" s="592"/>
      <c r="E111" s="592"/>
      <c r="F111" s="592"/>
      <c r="G111" s="592"/>
      <c r="H111" s="592"/>
      <c r="I111" s="592"/>
      <c r="J111" s="592"/>
      <c r="K111" s="592"/>
      <c r="L111" s="592"/>
    </row>
    <row r="112" spans="1:23" ht="12.75" customHeight="1" x14ac:dyDescent="0.25">
      <c r="B112" s="592"/>
      <c r="C112" s="592"/>
      <c r="D112" s="592"/>
      <c r="E112" s="592"/>
      <c r="F112" s="592"/>
      <c r="G112" s="592"/>
      <c r="H112" s="592"/>
      <c r="I112" s="592"/>
      <c r="J112" s="592"/>
      <c r="K112" s="592"/>
      <c r="L112" s="592"/>
    </row>
    <row r="113" spans="1:19" ht="12.75" customHeight="1" x14ac:dyDescent="0.25">
      <c r="B113" s="592"/>
      <c r="C113" s="592"/>
      <c r="D113" s="592"/>
      <c r="E113" s="592"/>
      <c r="F113" s="592"/>
      <c r="G113" s="592"/>
      <c r="H113" s="592"/>
      <c r="I113" s="592"/>
      <c r="J113" s="592"/>
      <c r="K113" s="592"/>
      <c r="L113" s="592"/>
    </row>
    <row r="114" spans="1:19" ht="12.75" customHeight="1" x14ac:dyDescent="0.25">
      <c r="B114" s="592"/>
      <c r="C114" s="592"/>
      <c r="D114" s="592"/>
      <c r="E114" s="592"/>
      <c r="F114" s="592"/>
      <c r="G114" s="592"/>
      <c r="H114" s="592"/>
      <c r="I114" s="592"/>
      <c r="J114" s="592"/>
      <c r="K114" s="592"/>
      <c r="L114" s="592"/>
    </row>
    <row r="115" spans="1:19" ht="12.75" customHeight="1" x14ac:dyDescent="0.25">
      <c r="B115" s="592"/>
      <c r="C115" s="592"/>
      <c r="D115" s="592"/>
      <c r="E115" s="592"/>
      <c r="F115" s="592"/>
      <c r="G115" s="592"/>
      <c r="H115" s="592"/>
      <c r="I115" s="592"/>
      <c r="J115" s="592"/>
      <c r="K115" s="592"/>
      <c r="L115" s="592"/>
    </row>
    <row r="116" spans="1:19" ht="12.75" customHeight="1" x14ac:dyDescent="0.25">
      <c r="B116" s="592"/>
      <c r="C116" s="592"/>
      <c r="D116" s="592"/>
      <c r="E116" s="592"/>
      <c r="F116" s="592"/>
      <c r="G116" s="592"/>
      <c r="H116" s="592"/>
      <c r="I116" s="592"/>
      <c r="J116" s="592"/>
      <c r="K116" s="592"/>
      <c r="L116" s="592"/>
    </row>
    <row r="117" spans="1:19" ht="12.75" customHeight="1" x14ac:dyDescent="0.25">
      <c r="B117" s="592"/>
      <c r="C117" s="592"/>
      <c r="D117" s="592"/>
      <c r="E117" s="592"/>
      <c r="F117" s="592"/>
      <c r="G117" s="592"/>
      <c r="H117" s="592"/>
      <c r="I117" s="592"/>
      <c r="J117" s="592"/>
      <c r="K117" s="592"/>
      <c r="L117" s="592"/>
    </row>
    <row r="118" spans="1:19" ht="12.75" customHeight="1" x14ac:dyDescent="0.25">
      <c r="B118" s="592"/>
      <c r="C118" s="592"/>
      <c r="D118" s="592"/>
      <c r="E118" s="592"/>
      <c r="F118" s="592"/>
      <c r="G118" s="592"/>
      <c r="H118" s="592"/>
      <c r="I118" s="592"/>
      <c r="J118" s="592"/>
      <c r="K118" s="592"/>
      <c r="L118" s="592"/>
    </row>
    <row r="119" spans="1:19" ht="12.75" customHeight="1" x14ac:dyDescent="0.25">
      <c r="B119" s="592"/>
      <c r="C119" s="592"/>
      <c r="D119" s="592"/>
      <c r="E119" s="592"/>
      <c r="F119" s="592"/>
      <c r="G119" s="592"/>
      <c r="H119" s="592"/>
      <c r="I119" s="592"/>
      <c r="J119" s="592"/>
      <c r="K119" s="592"/>
      <c r="L119" s="592"/>
    </row>
    <row r="120" spans="1:19" ht="12.75" customHeight="1" x14ac:dyDescent="0.25">
      <c r="B120" s="592"/>
      <c r="C120" s="592"/>
      <c r="D120" s="592"/>
      <c r="E120" s="592"/>
      <c r="F120" s="592"/>
      <c r="G120" s="592"/>
      <c r="H120" s="592"/>
      <c r="I120" s="592"/>
      <c r="J120" s="592"/>
      <c r="K120" s="592"/>
      <c r="L120" s="592"/>
    </row>
    <row r="121" spans="1:19" ht="14.4" thickBot="1" x14ac:dyDescent="0.3">
      <c r="A121" s="342"/>
      <c r="B121" s="341"/>
      <c r="C121" s="341"/>
      <c r="D121" s="341"/>
      <c r="E121" s="341"/>
      <c r="F121" s="341"/>
      <c r="G121" s="341"/>
      <c r="H121" s="341"/>
      <c r="I121" s="341"/>
      <c r="J121" s="341"/>
      <c r="K121" s="341"/>
      <c r="L121" s="341"/>
      <c r="M121" s="342"/>
    </row>
    <row r="122" spans="1:19" x14ac:dyDescent="0.25">
      <c r="A122" s="115"/>
      <c r="B122" s="115"/>
      <c r="C122" s="115"/>
      <c r="D122" s="115"/>
      <c r="E122" s="115"/>
      <c r="F122" s="115"/>
      <c r="G122" s="115"/>
      <c r="H122" s="115"/>
      <c r="I122" s="115"/>
      <c r="J122" s="115"/>
      <c r="K122" s="115"/>
      <c r="L122" s="115"/>
      <c r="M122" s="115"/>
    </row>
    <row r="123" spans="1:19" s="115" customFormat="1" x14ac:dyDescent="0.25">
      <c r="O123" s="36"/>
      <c r="P123" s="36"/>
      <c r="Q123" s="36"/>
      <c r="R123" s="36"/>
      <c r="S123" s="178"/>
    </row>
  </sheetData>
  <mergeCells count="2">
    <mergeCell ref="B106:L120"/>
    <mergeCell ref="B23:L81"/>
  </mergeCells>
  <dataValidations count="2">
    <dataValidation type="list" allowBlank="1" showInputMessage="1" showErrorMessage="1" sqref="I86:K101">
      <formula1>$O$3:$O$21</formula1>
    </dataValidation>
    <dataValidation allowBlank="1" showErrorMessage="1" promptTitle="Do not change" sqref="B84:B101"/>
  </dataValidations>
  <printOptions horizontalCentered="1"/>
  <pageMargins left="0.19685039370078741" right="0.19685039370078741" top="0.55118110236220474" bottom="0.43307086614173229" header="0.23622047244094491" footer="0.23622047244094491"/>
  <pageSetup scale="85"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0" tint="-0.499984740745262"/>
  </sheetPr>
  <dimension ref="A1:S84"/>
  <sheetViews>
    <sheetView showGridLines="0" topLeftCell="A43" zoomScaleNormal="100" workbookViewId="0">
      <selection activeCell="O62" sqref="O62"/>
    </sheetView>
  </sheetViews>
  <sheetFormatPr defaultColWidth="9.109375" defaultRowHeight="13.2" x14ac:dyDescent="0.25"/>
  <cols>
    <col min="1" max="1" width="0.88671875" style="95" customWidth="1"/>
    <col min="2" max="2" width="40.5546875" style="95" customWidth="1"/>
    <col min="3" max="3" width="11" style="95" hidden="1" customWidth="1"/>
    <col min="4" max="4" width="13.33203125" style="95" customWidth="1"/>
    <col min="5" max="5" width="1" style="94" customWidth="1"/>
    <col min="6" max="6" width="11.88671875" style="95" hidden="1" customWidth="1"/>
    <col min="7" max="7" width="12.33203125" style="95" customWidth="1"/>
    <col min="8" max="8" width="11.44140625" style="95" hidden="1" customWidth="1"/>
    <col min="9" max="9" width="12.109375" style="95" customWidth="1"/>
    <col min="10" max="10" width="11" style="95" hidden="1" customWidth="1"/>
    <col min="11" max="11" width="11.5546875" style="95" hidden="1" customWidth="1"/>
    <col min="12" max="12" width="11.44140625" style="94" customWidth="1"/>
    <col min="13" max="13" width="13.109375" style="95" hidden="1" customWidth="1"/>
    <col min="14" max="14" width="12" style="96" hidden="1" customWidth="1"/>
    <col min="15" max="15" width="11.6640625" style="95" customWidth="1"/>
    <col min="16" max="16" width="13.109375" style="95" hidden="1" customWidth="1"/>
    <col min="17" max="17" width="5.5546875" style="95" customWidth="1"/>
    <col min="18" max="18" width="31.33203125" style="95" bestFit="1" customWidth="1"/>
    <col min="19" max="19" width="16.109375" style="97" bestFit="1" customWidth="1"/>
    <col min="20" max="20" width="2.44140625" style="95" customWidth="1"/>
    <col min="21" max="16384" width="9.109375" style="95"/>
  </cols>
  <sheetData>
    <row r="1" spans="1:16" ht="18" customHeight="1" x14ac:dyDescent="0.25">
      <c r="A1" s="570"/>
      <c r="B1" s="570"/>
      <c r="C1" s="566" t="s">
        <v>58</v>
      </c>
      <c r="D1" s="566" t="s">
        <v>253</v>
      </c>
      <c r="E1" s="95"/>
      <c r="F1" s="567" t="s">
        <v>5</v>
      </c>
      <c r="G1" s="566" t="s">
        <v>254</v>
      </c>
      <c r="H1" s="566" t="s">
        <v>59</v>
      </c>
      <c r="I1" s="566" t="s">
        <v>411</v>
      </c>
      <c r="J1" s="566" t="s">
        <v>58</v>
      </c>
      <c r="K1" s="566" t="s">
        <v>55</v>
      </c>
      <c r="L1" s="566" t="s">
        <v>255</v>
      </c>
    </row>
    <row r="2" spans="1:16" ht="18" customHeight="1" thickBot="1" x14ac:dyDescent="0.3">
      <c r="A2" s="570"/>
      <c r="B2" s="570"/>
      <c r="C2" s="566"/>
      <c r="D2" s="566"/>
      <c r="E2" s="95"/>
      <c r="F2" s="568"/>
      <c r="G2" s="566"/>
      <c r="H2" s="566"/>
      <c r="I2" s="566"/>
      <c r="J2" s="566"/>
      <c r="K2" s="566"/>
      <c r="L2" s="566"/>
    </row>
    <row r="3" spans="1:16" ht="18" customHeight="1" thickBot="1" x14ac:dyDescent="0.3">
      <c r="A3" s="570"/>
      <c r="B3" s="570"/>
      <c r="C3" s="566"/>
      <c r="D3" s="566"/>
      <c r="E3" s="95"/>
      <c r="F3" s="569"/>
      <c r="G3" s="566"/>
      <c r="H3" s="566"/>
      <c r="I3" s="566"/>
      <c r="J3" s="566"/>
      <c r="K3" s="566"/>
      <c r="L3" s="566"/>
      <c r="M3" s="388" t="s">
        <v>61</v>
      </c>
      <c r="N3" s="385" t="s">
        <v>62</v>
      </c>
      <c r="P3" s="95" t="s">
        <v>63</v>
      </c>
    </row>
    <row r="4" spans="1:16" x14ac:dyDescent="0.25">
      <c r="A4" s="397"/>
      <c r="B4" s="398" t="s">
        <v>107</v>
      </c>
      <c r="C4" s="390">
        <f>PWO!$K$7</f>
        <v>-25000</v>
      </c>
      <c r="D4" s="390">
        <v>-773671</v>
      </c>
      <c r="E4" s="97"/>
      <c r="F4" s="214">
        <f>+PWO!G5</f>
        <v>27397837</v>
      </c>
      <c r="G4" s="389">
        <f>+PWO!G6</f>
        <v>11135228</v>
      </c>
      <c r="H4" s="390">
        <f>+PWO!L5</f>
        <v>-530000</v>
      </c>
      <c r="I4" s="390">
        <f>PWO!$L$7</f>
        <v>-2924500</v>
      </c>
      <c r="J4" s="390">
        <f>PWO!$L$7</f>
        <v>-2924500</v>
      </c>
      <c r="K4" s="390">
        <f>PWO!$L$8</f>
        <v>0</v>
      </c>
      <c r="L4" s="391">
        <f t="shared" ref="L4" si="0">I4/F4</f>
        <v>-0.10674200302746527</v>
      </c>
      <c r="M4" s="95" t="s">
        <v>108</v>
      </c>
      <c r="N4" s="113">
        <v>41332</v>
      </c>
      <c r="O4" s="114"/>
      <c r="P4" s="114">
        <f t="shared" ref="P4:P11" si="1">D4-C4</f>
        <v>-748671</v>
      </c>
    </row>
    <row r="5" spans="1:16" x14ac:dyDescent="0.25">
      <c r="A5" s="397"/>
      <c r="B5" s="398" t="s">
        <v>246</v>
      </c>
      <c r="C5" s="390">
        <f>Legal!$K$7</f>
        <v>0</v>
      </c>
      <c r="D5" s="390">
        <v>20708</v>
      </c>
      <c r="E5" s="97"/>
      <c r="F5" s="214">
        <f>+Legal!G5</f>
        <v>16491109.390000001</v>
      </c>
      <c r="G5" s="389">
        <f>+Legal!G6</f>
        <v>5329141.3900000006</v>
      </c>
      <c r="H5" s="390">
        <f>+Legal!L5</f>
        <v>-919000</v>
      </c>
      <c r="I5" s="390">
        <f>Legal!$L$7</f>
        <v>-1243000</v>
      </c>
      <c r="J5" s="390">
        <f>Legal!$L$7</f>
        <v>-1243000</v>
      </c>
      <c r="K5" s="390">
        <f>Legal!$L$8</f>
        <v>0</v>
      </c>
      <c r="L5" s="391">
        <f>I5/F5</f>
        <v>-7.5373946688737592E-2</v>
      </c>
      <c r="M5" s="95" t="s">
        <v>93</v>
      </c>
      <c r="N5" s="113">
        <v>41332</v>
      </c>
      <c r="O5" s="114"/>
      <c r="P5" s="114">
        <f t="shared" si="1"/>
        <v>20708</v>
      </c>
    </row>
    <row r="6" spans="1:16" x14ac:dyDescent="0.25">
      <c r="A6" s="397"/>
      <c r="B6" s="398" t="s">
        <v>80</v>
      </c>
      <c r="C6" s="390">
        <f>CFA!$K$7</f>
        <v>1653000</v>
      </c>
      <c r="D6" s="390">
        <v>1625171</v>
      </c>
      <c r="E6" s="97"/>
      <c r="F6" s="214">
        <f>166488597-2500000</f>
        <v>163988597</v>
      </c>
      <c r="G6" s="389">
        <f>-280288197-2500000</f>
        <v>-282788197</v>
      </c>
      <c r="H6" s="390">
        <f>+CFA!L5</f>
        <v>-495000</v>
      </c>
      <c r="I6" s="390">
        <f>CFA!$L$7</f>
        <v>-875000</v>
      </c>
      <c r="J6" s="390">
        <f>CFA!$L$7</f>
        <v>-875000</v>
      </c>
      <c r="K6" s="390">
        <f>CFA!$L$8</f>
        <v>0</v>
      </c>
      <c r="L6" s="391">
        <f t="shared" ref="L6" si="2">I6/F6</f>
        <v>-5.3357368500445189E-3</v>
      </c>
      <c r="N6" s="113"/>
      <c r="O6" s="114"/>
      <c r="P6" s="114">
        <f t="shared" si="1"/>
        <v>-27829</v>
      </c>
    </row>
    <row r="7" spans="1:16" x14ac:dyDescent="0.25">
      <c r="A7" s="397"/>
      <c r="B7" s="398" t="s">
        <v>120</v>
      </c>
      <c r="C7" s="390">
        <f>'RC'!$K$7</f>
        <v>-150000</v>
      </c>
      <c r="D7" s="390">
        <v>550453</v>
      </c>
      <c r="E7" s="97"/>
      <c r="F7" s="214">
        <f>+'RC'!G5</f>
        <v>18919303</v>
      </c>
      <c r="G7" s="389">
        <f>+'RC'!G6</f>
        <v>7051073</v>
      </c>
      <c r="H7" s="390">
        <f>+'RC'!L5</f>
        <v>0</v>
      </c>
      <c r="I7" s="390">
        <f>'RC'!$L$7</f>
        <v>-795000</v>
      </c>
      <c r="J7" s="390">
        <f>'RC'!$L$7</f>
        <v>-795000</v>
      </c>
      <c r="K7" s="390">
        <f>'RC'!$L$8</f>
        <v>0</v>
      </c>
      <c r="L7" s="391">
        <f t="shared" ref="L7" si="3">I7/F7</f>
        <v>-4.2020575493716655E-2</v>
      </c>
      <c r="M7" s="95" t="s">
        <v>121</v>
      </c>
      <c r="N7" s="113">
        <v>41332</v>
      </c>
      <c r="O7" s="114"/>
      <c r="P7" s="114">
        <f t="shared" si="1"/>
        <v>700453</v>
      </c>
    </row>
    <row r="8" spans="1:16" x14ac:dyDescent="0.25">
      <c r="A8" s="397"/>
      <c r="B8" s="398" t="s">
        <v>97</v>
      </c>
      <c r="C8" s="390">
        <f>FRS!$K$7</f>
        <v>-45000</v>
      </c>
      <c r="D8" s="390">
        <v>-144584</v>
      </c>
      <c r="E8" s="97"/>
      <c r="F8" s="214">
        <f>+FRS!G5</f>
        <v>40204700</v>
      </c>
      <c r="G8" s="389">
        <f>+FRS!G6</f>
        <v>39412820</v>
      </c>
      <c r="H8" s="390">
        <f>+FRS!L5</f>
        <v>200000</v>
      </c>
      <c r="I8" s="390">
        <f>FRS!$L$7</f>
        <v>-440000</v>
      </c>
      <c r="J8" s="390">
        <f>FRS!$L$7</f>
        <v>-440000</v>
      </c>
      <c r="K8" s="390">
        <f>FRS!$L$8</f>
        <v>0</v>
      </c>
      <c r="L8" s="391">
        <f>I8/F8</f>
        <v>-1.0943994110141351E-2</v>
      </c>
      <c r="M8" s="95" t="s">
        <v>93</v>
      </c>
      <c r="N8" s="113">
        <v>41332</v>
      </c>
      <c r="O8" s="114"/>
      <c r="P8" s="114">
        <f>D8-C8</f>
        <v>-99584</v>
      </c>
    </row>
    <row r="9" spans="1:16" x14ac:dyDescent="0.25">
      <c r="A9" s="397"/>
      <c r="B9" s="398" t="s">
        <v>109</v>
      </c>
      <c r="C9" s="390">
        <f>PFO!$K$7</f>
        <v>-191000</v>
      </c>
      <c r="D9" s="390">
        <v>577574</v>
      </c>
      <c r="E9" s="97"/>
      <c r="F9" s="214">
        <f>+PFO!G5</f>
        <v>34567496</v>
      </c>
      <c r="G9" s="389">
        <f>+PFO!G6</f>
        <v>21804641</v>
      </c>
      <c r="H9" s="390">
        <f>+PFO!L5</f>
        <v>0</v>
      </c>
      <c r="I9" s="390">
        <f>PFO!$L$7</f>
        <v>-249500</v>
      </c>
      <c r="J9" s="390">
        <f>PFO!$L$7</f>
        <v>-249500</v>
      </c>
      <c r="K9" s="390">
        <f>PFO!$L$8</f>
        <v>0</v>
      </c>
      <c r="L9" s="391">
        <f>I9/F9</f>
        <v>-7.2177631842352714E-3</v>
      </c>
      <c r="M9" s="95" t="s">
        <v>110</v>
      </c>
      <c r="N9" s="138">
        <v>41333</v>
      </c>
      <c r="O9" s="114"/>
      <c r="P9" s="114">
        <f t="shared" si="1"/>
        <v>768574</v>
      </c>
    </row>
    <row r="10" spans="1:16" x14ac:dyDescent="0.25">
      <c r="A10" s="397"/>
      <c r="B10" s="398" t="s">
        <v>103</v>
      </c>
      <c r="C10" s="390">
        <f>Eng!$K$7</f>
        <v>-171000</v>
      </c>
      <c r="D10" s="390">
        <v>-59149</v>
      </c>
      <c r="E10" s="97"/>
      <c r="F10" s="214">
        <f>+Eng!G5</f>
        <v>11138755.800000001</v>
      </c>
      <c r="G10" s="389">
        <f>+Eng!G6</f>
        <v>8473283.8000000007</v>
      </c>
      <c r="H10" s="390">
        <f>+Eng!L5</f>
        <v>-377000</v>
      </c>
      <c r="I10" s="390">
        <f>Eng!$L$7</f>
        <v>-218500</v>
      </c>
      <c r="J10" s="390">
        <f>Eng!$L$7</f>
        <v>-218500</v>
      </c>
      <c r="K10" s="390">
        <f>Eng!$L$8</f>
        <v>0</v>
      </c>
      <c r="L10" s="391">
        <f>I10/F10</f>
        <v>-1.9616194476585976E-2</v>
      </c>
      <c r="M10" s="95" t="s">
        <v>104</v>
      </c>
      <c r="N10" s="113">
        <v>41332</v>
      </c>
      <c r="O10" s="114"/>
      <c r="P10" s="114">
        <f t="shared" si="1"/>
        <v>111851</v>
      </c>
    </row>
    <row r="11" spans="1:16" x14ac:dyDescent="0.25">
      <c r="A11" s="397"/>
      <c r="B11" s="398" t="s">
        <v>187</v>
      </c>
      <c r="C11" s="390">
        <f>HL!$K$7</f>
        <v>-233000</v>
      </c>
      <c r="D11" s="390">
        <v>-106857</v>
      </c>
      <c r="E11" s="97"/>
      <c r="F11" s="214">
        <f>+HL!G5</f>
        <v>21876229</v>
      </c>
      <c r="G11" s="389">
        <f>+HL!G6</f>
        <v>7483874</v>
      </c>
      <c r="H11" s="390">
        <f>+HL!L5</f>
        <v>0</v>
      </c>
      <c r="I11" s="390">
        <f>HL!$L$7</f>
        <v>-23000</v>
      </c>
      <c r="J11" s="390">
        <f>HL!$L$7</f>
        <v>-23000</v>
      </c>
      <c r="K11" s="390">
        <f>HL!$L$8</f>
        <v>0</v>
      </c>
      <c r="L11" s="391">
        <f>I11/F11</f>
        <v>-1.0513695024860089E-3</v>
      </c>
      <c r="M11" s="95" t="s">
        <v>118</v>
      </c>
      <c r="N11" s="113">
        <v>41332</v>
      </c>
      <c r="O11" s="114"/>
      <c r="P11" s="114">
        <f t="shared" si="1"/>
        <v>126143</v>
      </c>
    </row>
    <row r="12" spans="1:16" x14ac:dyDescent="0.25">
      <c r="A12" s="397"/>
      <c r="B12" s="397" t="s">
        <v>65</v>
      </c>
      <c r="C12" s="390">
        <f>Myr!$K$7</f>
        <v>0</v>
      </c>
      <c r="D12" s="390">
        <v>0</v>
      </c>
      <c r="E12" s="97"/>
      <c r="F12" s="214">
        <f>+Myr!G5</f>
        <v>438316.02</v>
      </c>
      <c r="G12" s="389">
        <f>+Myr!G6</f>
        <v>438316.02</v>
      </c>
      <c r="H12" s="390">
        <f>+Myr!L5</f>
        <v>0</v>
      </c>
      <c r="I12" s="390">
        <f>Myr!$L$7</f>
        <v>0</v>
      </c>
      <c r="J12" s="390">
        <f>Myr!$L$7</f>
        <v>0</v>
      </c>
      <c r="K12" s="390">
        <f>Myr!$L$8</f>
        <v>0</v>
      </c>
      <c r="L12" s="391">
        <f t="shared" ref="L12" si="4">I12/F12</f>
        <v>0</v>
      </c>
      <c r="M12" s="95" t="s">
        <v>66</v>
      </c>
      <c r="N12" s="113">
        <v>41333</v>
      </c>
      <c r="P12" s="114">
        <f t="shared" ref="P12:P13" si="5">D12-C12</f>
        <v>0</v>
      </c>
    </row>
    <row r="13" spans="1:16" x14ac:dyDescent="0.25">
      <c r="A13" s="397"/>
      <c r="B13" s="398" t="s">
        <v>113</v>
      </c>
      <c r="C13" s="390">
        <f>CDO!$K$7</f>
        <v>0</v>
      </c>
      <c r="D13" s="390">
        <v>1828</v>
      </c>
      <c r="E13" s="97"/>
      <c r="F13" s="214">
        <f>+CDO!G5</f>
        <v>0</v>
      </c>
      <c r="G13" s="389">
        <f>+CDO!G6</f>
        <v>0</v>
      </c>
      <c r="H13" s="390">
        <f>+CDO!L5</f>
        <v>0</v>
      </c>
      <c r="I13" s="390">
        <f>CDO!$L$7</f>
        <v>0</v>
      </c>
      <c r="J13" s="390">
        <f>CDO!$L$7</f>
        <v>0</v>
      </c>
      <c r="K13" s="390">
        <f>CDO!$L$8</f>
        <v>0</v>
      </c>
      <c r="L13" s="391">
        <f>IFERROR(I13/F13,0)</f>
        <v>0</v>
      </c>
      <c r="M13" s="95" t="s">
        <v>114</v>
      </c>
      <c r="N13" s="138">
        <v>41333</v>
      </c>
      <c r="O13" s="114"/>
      <c r="P13" s="114">
        <f t="shared" si="5"/>
        <v>1828</v>
      </c>
    </row>
    <row r="14" spans="1:16" x14ac:dyDescent="0.25">
      <c r="A14" s="397"/>
      <c r="B14" s="398" t="s">
        <v>67</v>
      </c>
      <c r="C14" s="390">
        <f>CAS!$K$7</f>
        <v>0</v>
      </c>
      <c r="D14" s="390">
        <v>2472</v>
      </c>
      <c r="E14" s="97"/>
      <c r="F14" s="214">
        <f>+CAS!G5</f>
        <v>721424</v>
      </c>
      <c r="G14" s="389">
        <f>+CAS!G6</f>
        <v>721424</v>
      </c>
      <c r="H14" s="390">
        <f>+CAS!$L$5</f>
        <v>0</v>
      </c>
      <c r="I14" s="390">
        <f>CAS!$L$7</f>
        <v>0</v>
      </c>
      <c r="J14" s="390">
        <f>CAS!$L$7</f>
        <v>0</v>
      </c>
      <c r="K14" s="390">
        <f>CAS!$L$8</f>
        <v>0</v>
      </c>
      <c r="L14" s="391">
        <f>I14/F14</f>
        <v>0</v>
      </c>
      <c r="M14" s="95" t="s">
        <v>66</v>
      </c>
      <c r="N14" s="113">
        <v>41333</v>
      </c>
      <c r="P14" s="114">
        <f t="shared" ref="P14:P32" si="6">D14-C14</f>
        <v>2472</v>
      </c>
    </row>
    <row r="15" spans="1:16" x14ac:dyDescent="0.25">
      <c r="A15" s="397"/>
      <c r="B15" s="398" t="s">
        <v>89</v>
      </c>
      <c r="C15" s="390">
        <f>HR!$K$7</f>
        <v>55000</v>
      </c>
      <c r="D15" s="390">
        <v>139544</v>
      </c>
      <c r="E15" s="97"/>
      <c r="F15" s="214">
        <f>+HR!G5</f>
        <v>3929384.41</v>
      </c>
      <c r="G15" s="389">
        <f>+HR!G6</f>
        <v>3693810.41</v>
      </c>
      <c r="H15" s="390">
        <f>+HR!L5</f>
        <v>0</v>
      </c>
      <c r="I15" s="390">
        <f>HR!$L$7</f>
        <v>0</v>
      </c>
      <c r="J15" s="390">
        <f>HR!$L$7</f>
        <v>0</v>
      </c>
      <c r="K15" s="390">
        <f>HR!$L$8</f>
        <v>0</v>
      </c>
      <c r="L15" s="391">
        <f t="shared" ref="L15" si="7">I15/F15</f>
        <v>0</v>
      </c>
      <c r="M15" s="95" t="s">
        <v>84</v>
      </c>
      <c r="N15" s="113">
        <v>41332</v>
      </c>
      <c r="O15" s="114"/>
      <c r="P15" s="114">
        <f>D15-C15</f>
        <v>84544</v>
      </c>
    </row>
    <row r="16" spans="1:16" x14ac:dyDescent="0.25">
      <c r="A16" s="397"/>
      <c r="B16" s="398" t="s">
        <v>98</v>
      </c>
      <c r="C16" s="390">
        <f>Build!$K$7</f>
        <v>32300</v>
      </c>
      <c r="D16" s="390">
        <v>105476</v>
      </c>
      <c r="E16" s="97"/>
      <c r="F16" s="214">
        <f>+Build!G5</f>
        <v>5760682</v>
      </c>
      <c r="G16" s="389">
        <f>+Build!G6</f>
        <v>2008371</v>
      </c>
      <c r="H16" s="390">
        <f>+Build!L5</f>
        <v>0</v>
      </c>
      <c r="I16" s="390">
        <f>Build!$L$7</f>
        <v>13000</v>
      </c>
      <c r="J16" s="390">
        <f>Build!$L$7</f>
        <v>13000</v>
      </c>
      <c r="K16" s="390">
        <f>Build!$L$8</f>
        <v>0</v>
      </c>
      <c r="L16" s="391">
        <f t="shared" ref="L16:L26" si="8">I16/F16</f>
        <v>2.2566772475897819E-3</v>
      </c>
      <c r="M16" s="95" t="s">
        <v>99</v>
      </c>
      <c r="N16" s="113">
        <v>41332</v>
      </c>
      <c r="O16" s="114"/>
      <c r="P16" s="114">
        <f t="shared" ref="P16:P25" si="9">D16-C16</f>
        <v>73176</v>
      </c>
    </row>
    <row r="17" spans="1:16" x14ac:dyDescent="0.25">
      <c r="A17" s="397"/>
      <c r="B17" s="398" t="s">
        <v>79</v>
      </c>
      <c r="C17" s="390">
        <f>IT!$K$7</f>
        <v>45000</v>
      </c>
      <c r="D17" s="390">
        <v>50812</v>
      </c>
      <c r="E17" s="97"/>
      <c r="F17" s="214">
        <f>+IT!G5</f>
        <v>7060481.2199999997</v>
      </c>
      <c r="G17" s="389">
        <f>+IT!G6</f>
        <v>5761026.2199999997</v>
      </c>
      <c r="H17" s="390">
        <f>+IT!L5</f>
        <v>0</v>
      </c>
      <c r="I17" s="390">
        <f>IT!$L$7</f>
        <v>36000</v>
      </c>
      <c r="J17" s="390">
        <f>IT!$L$7</f>
        <v>36000</v>
      </c>
      <c r="K17" s="390">
        <f>IT!$L$8</f>
        <v>0</v>
      </c>
      <c r="L17" s="391">
        <f t="shared" si="8"/>
        <v>5.0988025997468767E-3</v>
      </c>
      <c r="M17" s="95" t="s">
        <v>71</v>
      </c>
      <c r="N17" s="113">
        <v>41331</v>
      </c>
      <c r="O17" s="114"/>
      <c r="P17" s="114">
        <f t="shared" si="9"/>
        <v>5812</v>
      </c>
    </row>
    <row r="18" spans="1:16" x14ac:dyDescent="0.25">
      <c r="A18" s="397"/>
      <c r="B18" s="398" t="s">
        <v>70</v>
      </c>
      <c r="C18" s="390">
        <f>CAO!$K$7</f>
        <v>0</v>
      </c>
      <c r="D18" s="390">
        <v>246883</v>
      </c>
      <c r="E18" s="97"/>
      <c r="F18" s="214">
        <f>+CAO!G5</f>
        <v>1278215</v>
      </c>
      <c r="G18" s="389">
        <f>+CAO!G6</f>
        <v>1278215</v>
      </c>
      <c r="H18" s="390">
        <f>+CAO!L5</f>
        <v>0</v>
      </c>
      <c r="I18" s="390">
        <f>CAO!$L$7</f>
        <v>113000</v>
      </c>
      <c r="J18" s="390">
        <f>CAO!$L$7</f>
        <v>113000</v>
      </c>
      <c r="K18" s="390">
        <f>CAO!$L$8</f>
        <v>0</v>
      </c>
      <c r="L18" s="391">
        <f>I18/F18</f>
        <v>8.8404532883748041E-2</v>
      </c>
      <c r="M18" s="95" t="s">
        <v>71</v>
      </c>
      <c r="N18" s="113">
        <v>41331</v>
      </c>
      <c r="P18" s="114">
        <f>D18-C18</f>
        <v>246883</v>
      </c>
    </row>
    <row r="19" spans="1:16" x14ac:dyDescent="0.25">
      <c r="A19" s="397"/>
      <c r="B19" s="398" t="s">
        <v>83</v>
      </c>
      <c r="C19" s="390">
        <f>CS!$K$7</f>
        <v>-168500</v>
      </c>
      <c r="D19" s="390">
        <v>-201990</v>
      </c>
      <c r="E19" s="97"/>
      <c r="F19" s="214">
        <f>+CS!G5</f>
        <v>8376364.0999999996</v>
      </c>
      <c r="G19" s="389">
        <f>+CS!G6</f>
        <v>4750771</v>
      </c>
      <c r="H19" s="390">
        <f>+CS!L5</f>
        <v>0</v>
      </c>
      <c r="I19" s="390">
        <f>CS!$L$7</f>
        <v>145000</v>
      </c>
      <c r="J19" s="390">
        <f>CS!$L$7</f>
        <v>145000</v>
      </c>
      <c r="K19" s="390">
        <f>CS!$L$8</f>
        <v>0</v>
      </c>
      <c r="L19" s="391">
        <f>I19/F19</f>
        <v>1.7310613324461387E-2</v>
      </c>
      <c r="M19" s="95" t="s">
        <v>84</v>
      </c>
      <c r="N19" s="113">
        <v>41332</v>
      </c>
      <c r="O19" s="114"/>
      <c r="P19" s="114">
        <f>D19-C19</f>
        <v>-33490</v>
      </c>
    </row>
    <row r="20" spans="1:16" x14ac:dyDescent="0.25">
      <c r="A20" s="397"/>
      <c r="B20" s="398" t="s">
        <v>100</v>
      </c>
      <c r="C20" s="390">
        <f>Plan!$K$7</f>
        <v>0</v>
      </c>
      <c r="D20" s="390">
        <v>30279</v>
      </c>
      <c r="E20" s="97"/>
      <c r="F20" s="214">
        <f>+Plan!G5</f>
        <v>3305426.72</v>
      </c>
      <c r="G20" s="389">
        <f>+Plan!G6</f>
        <v>2752552.72</v>
      </c>
      <c r="H20" s="390">
        <f>+Plan!L5</f>
        <v>-100000</v>
      </c>
      <c r="I20" s="390">
        <f>Plan!$L$7</f>
        <v>160000</v>
      </c>
      <c r="J20" s="390">
        <f>Plan!$L$7</f>
        <v>160000</v>
      </c>
      <c r="K20" s="390">
        <f>Plan!$L$8</f>
        <v>0</v>
      </c>
      <c r="L20" s="391">
        <f>I20/F20</f>
        <v>4.840524796144928E-2</v>
      </c>
      <c r="M20" s="95" t="s">
        <v>99</v>
      </c>
      <c r="N20" s="113">
        <v>41332</v>
      </c>
      <c r="O20" s="114"/>
      <c r="P20" s="114">
        <f>D20-C20</f>
        <v>30279</v>
      </c>
    </row>
    <row r="21" spans="1:16" x14ac:dyDescent="0.25">
      <c r="A21" s="397"/>
      <c r="B21" s="398" t="s">
        <v>74</v>
      </c>
      <c r="C21" s="390">
        <f>Fin!$K$7</f>
        <v>170000</v>
      </c>
      <c r="D21" s="390">
        <v>524552</v>
      </c>
      <c r="E21" s="97"/>
      <c r="F21" s="214">
        <f>+Fin!G5</f>
        <v>8983862</v>
      </c>
      <c r="G21" s="389">
        <f>+Fin!G6</f>
        <v>6339315</v>
      </c>
      <c r="H21" s="390">
        <f>+Fin!L5</f>
        <v>0</v>
      </c>
      <c r="I21" s="390">
        <f>Fin!$L$7</f>
        <v>175000</v>
      </c>
      <c r="J21" s="390">
        <f>Fin!$L$7</f>
        <v>175000</v>
      </c>
      <c r="K21" s="390">
        <f>Fin!$L$8</f>
        <v>0</v>
      </c>
      <c r="L21" s="391">
        <f>I21/F21</f>
        <v>1.9479373124832059E-2</v>
      </c>
      <c r="M21" s="95" t="s">
        <v>66</v>
      </c>
      <c r="N21" s="113"/>
      <c r="P21" s="114">
        <f>D21-C21</f>
        <v>354552</v>
      </c>
    </row>
    <row r="22" spans="1:16" x14ac:dyDescent="0.25">
      <c r="A22" s="397"/>
      <c r="B22" s="398" t="s">
        <v>105</v>
      </c>
      <c r="C22" s="390">
        <f>Env!$K$7</f>
        <v>-30000</v>
      </c>
      <c r="D22" s="390">
        <v>74081</v>
      </c>
      <c r="E22" s="97"/>
      <c r="F22" s="214">
        <f>+Env!G5</f>
        <v>35678095.840000004</v>
      </c>
      <c r="G22" s="389">
        <f>+Env!G6</f>
        <v>12861723.840000004</v>
      </c>
      <c r="H22" s="390">
        <f>+Env!L5</f>
        <v>0</v>
      </c>
      <c r="I22" s="390">
        <f>Env!$L$7</f>
        <v>200000</v>
      </c>
      <c r="J22" s="390">
        <f>Env!$L$7</f>
        <v>200000</v>
      </c>
      <c r="K22" s="390">
        <f>Env!$L$8</f>
        <v>0</v>
      </c>
      <c r="L22" s="391">
        <f>I22/F22</f>
        <v>5.6056803282582357E-3</v>
      </c>
      <c r="M22" s="95" t="s">
        <v>106</v>
      </c>
      <c r="N22" s="113">
        <v>41332</v>
      </c>
      <c r="O22" s="114"/>
      <c r="P22" s="114">
        <f>D22-C22</f>
        <v>104081</v>
      </c>
    </row>
    <row r="23" spans="1:16" ht="13.5" customHeight="1" x14ac:dyDescent="0.25">
      <c r="A23" s="397"/>
      <c r="B23" s="398" t="s">
        <v>116</v>
      </c>
      <c r="C23" s="390">
        <f>HCS!$K$7</f>
        <v>1013000</v>
      </c>
      <c r="D23" s="390">
        <v>1241539</v>
      </c>
      <c r="E23" s="97"/>
      <c r="F23" s="214">
        <f>+HCS!G5</f>
        <v>87388447.739999995</v>
      </c>
      <c r="G23" s="389">
        <f>+HCS!G6</f>
        <v>21184757.739999995</v>
      </c>
      <c r="H23" s="390">
        <f>+HCS!L5</f>
        <v>0</v>
      </c>
      <c r="I23" s="390">
        <f>HCS!$L$7</f>
        <v>359000</v>
      </c>
      <c r="J23" s="390">
        <f>HCS!$L$7</f>
        <v>359000</v>
      </c>
      <c r="K23" s="390">
        <f>HCS!$L$8</f>
        <v>0</v>
      </c>
      <c r="L23" s="391">
        <f t="shared" si="8"/>
        <v>4.1080944825579759E-3</v>
      </c>
      <c r="M23" s="95" t="s">
        <v>117</v>
      </c>
      <c r="N23" s="138">
        <v>41333</v>
      </c>
      <c r="O23" s="114"/>
      <c r="P23" s="114">
        <f t="shared" si="9"/>
        <v>228539</v>
      </c>
    </row>
    <row r="24" spans="1:16" x14ac:dyDescent="0.25">
      <c r="A24" s="397"/>
      <c r="B24" s="398" t="s">
        <v>90</v>
      </c>
      <c r="C24" s="390">
        <f>CHR!$K$7</f>
        <v>0</v>
      </c>
      <c r="D24" s="390">
        <v>-345932</v>
      </c>
      <c r="E24" s="97"/>
      <c r="F24" s="214">
        <f>+CHR!G5</f>
        <v>40911821</v>
      </c>
      <c r="G24" s="389">
        <f>+CHR!G6</f>
        <v>-6272470</v>
      </c>
      <c r="H24" s="390">
        <f>+CHR!L5</f>
        <v>0</v>
      </c>
      <c r="I24" s="390">
        <f>CHR!$L$7</f>
        <v>704000</v>
      </c>
      <c r="J24" s="390">
        <f>CHR!$L$7</f>
        <v>704000</v>
      </c>
      <c r="K24" s="390">
        <f>CHR!$L$8</f>
        <v>0</v>
      </c>
      <c r="L24" s="391">
        <f>I24/F24</f>
        <v>1.7207740520765381E-2</v>
      </c>
      <c r="M24" s="95" t="s">
        <v>84</v>
      </c>
      <c r="N24" s="113">
        <v>41332</v>
      </c>
      <c r="O24" s="114"/>
      <c r="P24" s="114">
        <f>D24-C24</f>
        <v>-345932</v>
      </c>
    </row>
    <row r="25" spans="1:16" x14ac:dyDescent="0.25">
      <c r="A25" s="397"/>
      <c r="B25" s="398" t="s">
        <v>115</v>
      </c>
      <c r="C25" s="390">
        <f>ESS!$K$7</f>
        <v>1160000</v>
      </c>
      <c r="D25" s="390">
        <v>1680487</v>
      </c>
      <c r="E25" s="97"/>
      <c r="F25" s="214">
        <f>+ESS!G5</f>
        <v>117277253.5</v>
      </c>
      <c r="G25" s="389">
        <f>+ESS!G6</f>
        <v>14373132.5</v>
      </c>
      <c r="H25" s="390">
        <f>+ESS!L5</f>
        <v>380000</v>
      </c>
      <c r="I25" s="390">
        <f>ESS!$L$7</f>
        <v>1162000</v>
      </c>
      <c r="J25" s="390">
        <f>ESS!$L$7</f>
        <v>1162000</v>
      </c>
      <c r="K25" s="390">
        <f>ESS!$L$8</f>
        <v>0</v>
      </c>
      <c r="L25" s="391">
        <f t="shared" si="8"/>
        <v>9.9081447196407955E-3</v>
      </c>
      <c r="M25" s="95" t="s">
        <v>114</v>
      </c>
      <c r="N25" s="138">
        <v>41333</v>
      </c>
      <c r="O25" s="114"/>
      <c r="P25" s="114">
        <f t="shared" si="9"/>
        <v>520487</v>
      </c>
    </row>
    <row r="26" spans="1:16" s="125" customFormat="1" x14ac:dyDescent="0.25">
      <c r="A26" s="399" t="s">
        <v>123</v>
      </c>
      <c r="B26" s="400"/>
      <c r="C26" s="392" t="e">
        <f>#REF!+#REF!+#REF!+#REF!+#REF!+#REF!+#REF!</f>
        <v>#REF!</v>
      </c>
      <c r="D26" s="392">
        <v>5239676</v>
      </c>
      <c r="E26" s="123"/>
      <c r="F26" s="387">
        <f>SUM(F4:F25)</f>
        <v>655693800.74000013</v>
      </c>
      <c r="G26" s="392">
        <f>SUM(G4:G25)</f>
        <v>-112207190.36</v>
      </c>
      <c r="H26" s="392">
        <f t="shared" ref="H26:I26" si="10">SUM(H4:H25)</f>
        <v>-1841000</v>
      </c>
      <c r="I26" s="392">
        <f t="shared" si="10"/>
        <v>-3701500</v>
      </c>
      <c r="J26" s="392" t="e">
        <f>#REF!+#REF!+#REF!+#REF!+#REF!+#REF!+#REF!</f>
        <v>#REF!</v>
      </c>
      <c r="K26" s="392" t="e">
        <f>#REF!+#REF!+#REF!+#REF!+#REF!+#REF!+#REF!</f>
        <v>#REF!</v>
      </c>
      <c r="L26" s="393">
        <f t="shared" si="8"/>
        <v>-5.6451654656831845E-3</v>
      </c>
      <c r="N26" s="126"/>
      <c r="O26" s="386"/>
      <c r="P26" s="114" t="e">
        <f t="shared" si="6"/>
        <v>#REF!</v>
      </c>
    </row>
    <row r="27" spans="1:16" ht="14.25" customHeight="1" x14ac:dyDescent="0.25">
      <c r="A27" s="397"/>
      <c r="B27" s="398"/>
      <c r="C27" s="389"/>
      <c r="D27" s="389"/>
      <c r="E27" s="97"/>
      <c r="F27" s="214"/>
      <c r="G27" s="389"/>
      <c r="H27" s="390"/>
      <c r="I27" s="389"/>
      <c r="J27" s="389"/>
      <c r="K27" s="389"/>
      <c r="L27" s="394"/>
      <c r="N27" s="128"/>
      <c r="P27" s="114">
        <f t="shared" si="6"/>
        <v>0</v>
      </c>
    </row>
    <row r="28" spans="1:16" x14ac:dyDescent="0.25">
      <c r="A28" s="399" t="s">
        <v>124</v>
      </c>
      <c r="B28" s="398"/>
      <c r="C28" s="389"/>
      <c r="D28" s="389"/>
      <c r="E28" s="97"/>
      <c r="F28" s="214"/>
      <c r="G28" s="389"/>
      <c r="H28" s="390"/>
      <c r="I28" s="389"/>
      <c r="J28" s="389"/>
      <c r="K28" s="389"/>
      <c r="L28" s="394"/>
      <c r="N28" s="128"/>
      <c r="P28" s="114">
        <f t="shared" si="6"/>
        <v>0</v>
      </c>
    </row>
    <row r="29" spans="1:16" x14ac:dyDescent="0.25">
      <c r="A29" s="401"/>
      <c r="B29" s="404" t="s">
        <v>126</v>
      </c>
      <c r="C29" s="390">
        <f>WPS!$K$7</f>
        <v>-470000</v>
      </c>
      <c r="D29" s="390">
        <v>-626672</v>
      </c>
      <c r="E29" s="97"/>
      <c r="F29" s="214">
        <f>+WPS!G5</f>
        <v>82830646.680000007</v>
      </c>
      <c r="G29" s="389">
        <f>+WPS!G6</f>
        <v>73782957.680000007</v>
      </c>
      <c r="H29" s="390">
        <f>+WPS!L5</f>
        <v>-600000</v>
      </c>
      <c r="I29" s="390">
        <f>WPS!$L$7</f>
        <v>-750000</v>
      </c>
      <c r="J29" s="390">
        <f>WPS!$L$7</f>
        <v>-750000</v>
      </c>
      <c r="K29" s="390">
        <f>WPS!$L$8</f>
        <v>0</v>
      </c>
      <c r="L29" s="391">
        <f t="shared" ref="L29:L36" si="11">I29/F29</f>
        <v>-9.054619637312241E-3</v>
      </c>
      <c r="M29" s="95" t="s">
        <v>127</v>
      </c>
      <c r="N29" s="113" t="s">
        <v>128</v>
      </c>
      <c r="O29" s="114"/>
      <c r="P29" s="114">
        <f t="shared" si="6"/>
        <v>-156672</v>
      </c>
    </row>
    <row r="30" spans="1:16" x14ac:dyDescent="0.25">
      <c r="A30" s="401"/>
      <c r="B30" s="404" t="s">
        <v>136</v>
      </c>
      <c r="C30" s="390">
        <f>AG!$K$7</f>
        <v>0</v>
      </c>
      <c r="D30" s="390">
        <v>-146520</v>
      </c>
      <c r="E30" s="97"/>
      <c r="F30" s="214">
        <f>+AG!G5</f>
        <v>16287054</v>
      </c>
      <c r="G30" s="389">
        <f>+AG!G6</f>
        <v>16186455</v>
      </c>
      <c r="H30" s="390">
        <f>+AG!L5</f>
        <v>-501720</v>
      </c>
      <c r="I30" s="390">
        <f>AG!$L$7</f>
        <v>-598120</v>
      </c>
      <c r="J30" s="390">
        <f>AG!$L$7</f>
        <v>-598120</v>
      </c>
      <c r="K30" s="390">
        <f>AG!$L$8</f>
        <v>0</v>
      </c>
      <c r="L30" s="391">
        <f>I30/F30</f>
        <v>-3.6723645663604969E-2</v>
      </c>
      <c r="M30" s="138" t="s">
        <v>66</v>
      </c>
      <c r="N30" s="138" t="s">
        <v>137</v>
      </c>
      <c r="O30" s="114"/>
      <c r="P30" s="114">
        <f>D30-C30</f>
        <v>-146520</v>
      </c>
    </row>
    <row r="31" spans="1:16" x14ac:dyDescent="0.25">
      <c r="A31" s="401"/>
      <c r="B31" s="404" t="s">
        <v>129</v>
      </c>
      <c r="C31" s="390">
        <f>TW!$K$7</f>
        <v>-347000</v>
      </c>
      <c r="D31" s="390">
        <v>-518278</v>
      </c>
      <c r="E31" s="97"/>
      <c r="F31" s="214">
        <f>+TW!G5</f>
        <v>29843504</v>
      </c>
      <c r="G31" s="389">
        <f>+TW!G6</f>
        <v>12387926</v>
      </c>
      <c r="H31" s="390">
        <f>+TW!L5</f>
        <v>-420000</v>
      </c>
      <c r="I31" s="390">
        <f>TW!$L$7</f>
        <v>-408000</v>
      </c>
      <c r="J31" s="390">
        <f>TW!$L$7</f>
        <v>-408000</v>
      </c>
      <c r="K31" s="390">
        <f>TW!$L$8</f>
        <v>0</v>
      </c>
      <c r="L31" s="391">
        <f t="shared" si="11"/>
        <v>-1.367131688021621E-2</v>
      </c>
      <c r="M31" s="95" t="s">
        <v>130</v>
      </c>
      <c r="N31" s="113">
        <v>41333</v>
      </c>
      <c r="O31" s="114"/>
      <c r="P31" s="114">
        <f t="shared" si="6"/>
        <v>-171278</v>
      </c>
    </row>
    <row r="32" spans="1:16" x14ac:dyDescent="0.25">
      <c r="A32" s="401"/>
      <c r="B32" s="404" t="s">
        <v>190</v>
      </c>
      <c r="C32" s="390">
        <f>WPL!$K$7</f>
        <v>0</v>
      </c>
      <c r="D32" s="390">
        <v>0</v>
      </c>
      <c r="E32" s="97"/>
      <c r="F32" s="214">
        <v>7293932</v>
      </c>
      <c r="G32" s="389">
        <f>F32</f>
        <v>7293932</v>
      </c>
      <c r="H32" s="390">
        <v>0</v>
      </c>
      <c r="I32" s="390">
        <f>WPL!$L$7</f>
        <v>0</v>
      </c>
      <c r="J32" s="390">
        <f>WPL!$L$7</f>
        <v>0</v>
      </c>
      <c r="K32" s="390">
        <f>WPL!$L$8</f>
        <v>0</v>
      </c>
      <c r="L32" s="391">
        <f t="shared" si="11"/>
        <v>0</v>
      </c>
      <c r="M32" s="95" t="s">
        <v>131</v>
      </c>
      <c r="N32" s="138" t="s">
        <v>132</v>
      </c>
      <c r="O32" s="114"/>
      <c r="P32" s="114">
        <f t="shared" si="6"/>
        <v>0</v>
      </c>
    </row>
    <row r="33" spans="1:19" x14ac:dyDescent="0.25">
      <c r="A33" s="401"/>
      <c r="B33" s="404" t="s">
        <v>138</v>
      </c>
      <c r="C33" s="390">
        <f>CC!$K$7</f>
        <v>9900</v>
      </c>
      <c r="D33" s="390">
        <v>13572</v>
      </c>
      <c r="E33" s="97"/>
      <c r="F33" s="214">
        <f>+CC!G5</f>
        <v>55920</v>
      </c>
      <c r="G33" s="389">
        <f>+CC!G6</f>
        <v>55920</v>
      </c>
      <c r="H33" s="390">
        <f>+CC!L5</f>
        <v>0</v>
      </c>
      <c r="I33" s="390">
        <f>CC!$L$7</f>
        <v>23700</v>
      </c>
      <c r="J33" s="390">
        <f>CC!$L$7</f>
        <v>23700</v>
      </c>
      <c r="K33" s="390">
        <f>CC!$L$8</f>
        <v>0</v>
      </c>
      <c r="L33" s="391">
        <f t="shared" si="11"/>
        <v>0.4238197424892704</v>
      </c>
      <c r="M33" s="95" t="s">
        <v>84</v>
      </c>
      <c r="N33" s="113">
        <v>41332</v>
      </c>
      <c r="O33" s="114"/>
      <c r="P33" s="114">
        <f>D33-C33</f>
        <v>3672</v>
      </c>
    </row>
    <row r="34" spans="1:19" s="125" customFormat="1" x14ac:dyDescent="0.25">
      <c r="A34" s="402" t="s">
        <v>139</v>
      </c>
      <c r="B34" s="405"/>
      <c r="C34" s="395">
        <f>SUM(C29:C33)</f>
        <v>-807100</v>
      </c>
      <c r="D34" s="395">
        <v>-1277898</v>
      </c>
      <c r="E34" s="123"/>
      <c r="F34" s="144">
        <f t="shared" ref="F34:K34" si="12">SUM(F29:F33)</f>
        <v>136311056.68000001</v>
      </c>
      <c r="G34" s="395">
        <f t="shared" si="12"/>
        <v>109707190.68000001</v>
      </c>
      <c r="H34" s="395">
        <f t="shared" si="12"/>
        <v>-1521720</v>
      </c>
      <c r="I34" s="395">
        <f t="shared" si="12"/>
        <v>-1732420</v>
      </c>
      <c r="J34" s="395">
        <f t="shared" si="12"/>
        <v>-1732420</v>
      </c>
      <c r="K34" s="395">
        <f t="shared" si="12"/>
        <v>0</v>
      </c>
      <c r="L34" s="393">
        <f t="shared" si="11"/>
        <v>-1.270931384580915E-2</v>
      </c>
      <c r="N34" s="126"/>
      <c r="O34" s="114"/>
      <c r="P34" s="114">
        <f>D34-C34</f>
        <v>-470798</v>
      </c>
    </row>
    <row r="35" spans="1:19" x14ac:dyDescent="0.25">
      <c r="A35" s="401"/>
      <c r="B35" s="406"/>
      <c r="C35" s="390"/>
      <c r="D35" s="390"/>
      <c r="E35" s="97"/>
      <c r="F35" s="108"/>
      <c r="G35" s="390"/>
      <c r="H35" s="390"/>
      <c r="I35" s="390"/>
      <c r="J35" s="390"/>
      <c r="K35" s="390"/>
      <c r="L35" s="394"/>
      <c r="N35" s="128"/>
      <c r="P35" s="114"/>
      <c r="Q35" s="152"/>
      <c r="R35" s="153"/>
    </row>
    <row r="36" spans="1:19" s="125" customFormat="1" x14ac:dyDescent="0.25">
      <c r="A36" s="402" t="s">
        <v>188</v>
      </c>
      <c r="B36" s="405"/>
      <c r="C36" s="395" t="e">
        <f>C34+C26</f>
        <v>#REF!</v>
      </c>
      <c r="D36" s="395">
        <v>3961778</v>
      </c>
      <c r="E36" s="123"/>
      <c r="F36" s="146">
        <f t="shared" ref="F36:K36" si="13">F34+F26</f>
        <v>792004857.42000008</v>
      </c>
      <c r="G36" s="395">
        <f t="shared" si="13"/>
        <v>-2499999.6799999923</v>
      </c>
      <c r="H36" s="395">
        <f t="shared" si="13"/>
        <v>-3362720</v>
      </c>
      <c r="I36" s="395">
        <f t="shared" si="13"/>
        <v>-5433920</v>
      </c>
      <c r="J36" s="395" t="e">
        <f t="shared" si="13"/>
        <v>#REF!</v>
      </c>
      <c r="K36" s="395" t="e">
        <f t="shared" si="13"/>
        <v>#REF!</v>
      </c>
      <c r="L36" s="393">
        <f t="shared" si="11"/>
        <v>-6.8609680219655434E-3</v>
      </c>
      <c r="N36" s="126"/>
      <c r="O36" s="114"/>
      <c r="P36" s="114" t="e">
        <f>D36-C36</f>
        <v>#REF!</v>
      </c>
      <c r="S36" s="123"/>
    </row>
    <row r="37" spans="1:19" s="125" customFormat="1" x14ac:dyDescent="0.25">
      <c r="A37" s="403"/>
      <c r="B37" s="407"/>
      <c r="C37" s="395"/>
      <c r="D37" s="395"/>
      <c r="E37" s="123"/>
      <c r="F37" s="119"/>
      <c r="G37" s="395"/>
      <c r="H37" s="395"/>
      <c r="I37" s="395"/>
      <c r="J37" s="395"/>
      <c r="K37" s="395"/>
      <c r="L37" s="393"/>
      <c r="N37" s="126"/>
      <c r="O37" s="114"/>
      <c r="S37" s="123"/>
    </row>
    <row r="38" spans="1:19" s="125" customFormat="1" x14ac:dyDescent="0.25">
      <c r="A38" s="403" t="s">
        <v>238</v>
      </c>
      <c r="B38" s="407"/>
      <c r="C38" s="395"/>
      <c r="D38" s="395"/>
      <c r="E38" s="123"/>
      <c r="F38" s="119"/>
      <c r="G38" s="395"/>
      <c r="H38" s="395"/>
      <c r="I38" s="395"/>
      <c r="J38" s="395"/>
      <c r="K38" s="395"/>
      <c r="L38" s="393"/>
      <c r="N38" s="126"/>
      <c r="O38" s="114"/>
      <c r="S38" s="123"/>
    </row>
    <row r="39" spans="1:19" collapsed="1" x14ac:dyDescent="0.25">
      <c r="A39" s="401"/>
      <c r="B39" s="404" t="s">
        <v>239</v>
      </c>
      <c r="C39" s="390"/>
      <c r="D39" s="390">
        <v>0</v>
      </c>
      <c r="E39" s="97"/>
      <c r="F39" s="214">
        <v>0</v>
      </c>
      <c r="G39" s="389">
        <v>0</v>
      </c>
      <c r="H39" s="390">
        <v>0</v>
      </c>
      <c r="I39" s="390">
        <v>1250000</v>
      </c>
      <c r="J39" s="390"/>
      <c r="K39" s="390"/>
      <c r="L39" s="391"/>
      <c r="N39" s="113"/>
      <c r="O39" s="114"/>
      <c r="P39" s="114"/>
    </row>
    <row r="40" spans="1:19" x14ac:dyDescent="0.25">
      <c r="A40" s="401"/>
      <c r="B40" s="404" t="s">
        <v>247</v>
      </c>
      <c r="C40" s="390"/>
      <c r="D40" s="390">
        <v>0</v>
      </c>
      <c r="E40" s="97"/>
      <c r="F40" s="214">
        <v>0</v>
      </c>
      <c r="G40" s="389">
        <v>0</v>
      </c>
      <c r="H40" s="390">
        <v>0</v>
      </c>
      <c r="I40" s="390">
        <v>500000</v>
      </c>
      <c r="J40" s="390"/>
      <c r="K40" s="390"/>
      <c r="L40" s="391"/>
      <c r="N40" s="113"/>
      <c r="O40" s="114"/>
      <c r="P40" s="114"/>
    </row>
    <row r="41" spans="1:19" x14ac:dyDescent="0.25">
      <c r="A41" s="401"/>
      <c r="B41" s="404" t="s">
        <v>240</v>
      </c>
      <c r="C41" s="390"/>
      <c r="D41" s="390">
        <v>0</v>
      </c>
      <c r="E41" s="97"/>
      <c r="F41" s="214">
        <v>0</v>
      </c>
      <c r="G41" s="389">
        <v>0</v>
      </c>
      <c r="H41" s="390">
        <v>0</v>
      </c>
      <c r="I41" s="390">
        <v>240000</v>
      </c>
      <c r="J41" s="390"/>
      <c r="K41" s="390"/>
      <c r="L41" s="391"/>
      <c r="N41" s="113"/>
      <c r="O41" s="114"/>
      <c r="P41" s="114"/>
    </row>
    <row r="42" spans="1:19" s="125" customFormat="1" x14ac:dyDescent="0.25">
      <c r="A42" s="402" t="s">
        <v>241</v>
      </c>
      <c r="B42" s="405"/>
      <c r="C42" s="395"/>
      <c r="D42" s="395">
        <f>SUM(D38:D41)</f>
        <v>0</v>
      </c>
      <c r="E42" s="123"/>
      <c r="F42" s="146">
        <f>SUM(F38:F41)</f>
        <v>0</v>
      </c>
      <c r="G42" s="395">
        <f>SUM(G38:G41)</f>
        <v>0</v>
      </c>
      <c r="H42" s="395">
        <f>SUM(H38:H41)</f>
        <v>0</v>
      </c>
      <c r="I42" s="395">
        <f>SUM(I38:I41)</f>
        <v>1990000</v>
      </c>
      <c r="J42" s="395"/>
      <c r="K42" s="395"/>
      <c r="L42" s="393"/>
      <c r="N42" s="126"/>
      <c r="O42" s="114"/>
      <c r="P42" s="114"/>
      <c r="S42" s="123"/>
    </row>
    <row r="43" spans="1:19" collapsed="1" x14ac:dyDescent="0.25">
      <c r="A43" s="401"/>
      <c r="B43" s="404"/>
      <c r="C43" s="390"/>
      <c r="D43" s="390"/>
      <c r="E43" s="97"/>
      <c r="F43" s="214"/>
      <c r="G43" s="389"/>
      <c r="H43" s="390"/>
      <c r="I43" s="390"/>
      <c r="J43" s="390"/>
      <c r="K43" s="390"/>
      <c r="L43" s="391"/>
      <c r="N43" s="113"/>
      <c r="O43" s="114"/>
      <c r="P43" s="114"/>
    </row>
    <row r="44" spans="1:19" s="125" customFormat="1" x14ac:dyDescent="0.25">
      <c r="A44" s="402" t="s">
        <v>242</v>
      </c>
      <c r="B44" s="405"/>
      <c r="C44" s="395"/>
      <c r="D44" s="395"/>
      <c r="E44" s="123"/>
      <c r="F44" s="144">
        <f>F36+F42</f>
        <v>792004857.42000008</v>
      </c>
      <c r="G44" s="395">
        <f>G36+G42</f>
        <v>-2499999.6799999923</v>
      </c>
      <c r="H44" s="395">
        <f>H36+H42</f>
        <v>-3362720</v>
      </c>
      <c r="I44" s="395">
        <f>I36+I42</f>
        <v>-3443920</v>
      </c>
      <c r="J44" s="395"/>
      <c r="K44" s="395"/>
      <c r="L44" s="393">
        <f t="shared" ref="L44" si="14">I44/F44</f>
        <v>-4.348357169448128E-3</v>
      </c>
      <c r="N44" s="126"/>
      <c r="O44" s="114"/>
      <c r="P44" s="114"/>
      <c r="S44" s="123"/>
    </row>
    <row r="45" spans="1:19" x14ac:dyDescent="0.25">
      <c r="A45" s="401"/>
      <c r="B45" s="404"/>
      <c r="C45" s="390"/>
      <c r="D45" s="390"/>
      <c r="E45" s="97"/>
      <c r="F45" s="214"/>
      <c r="G45" s="389"/>
      <c r="H45" s="390"/>
      <c r="I45" s="390"/>
      <c r="J45" s="390"/>
      <c r="K45" s="390"/>
      <c r="L45" s="391"/>
      <c r="N45" s="113"/>
      <c r="O45" s="114"/>
      <c r="P45" s="114"/>
    </row>
    <row r="46" spans="1:19" x14ac:dyDescent="0.25">
      <c r="A46" s="401" t="s">
        <v>223</v>
      </c>
      <c r="B46" s="406"/>
      <c r="C46" s="390" t="e">
        <f>#REF!</f>
        <v>#REF!</v>
      </c>
      <c r="D46" s="390">
        <v>1500000</v>
      </c>
      <c r="E46" s="95"/>
      <c r="F46" s="108">
        <v>2500000</v>
      </c>
      <c r="G46" s="390">
        <v>2500000</v>
      </c>
      <c r="H46" s="390">
        <v>2500000</v>
      </c>
      <c r="I46" s="390">
        <v>2500000</v>
      </c>
      <c r="J46" s="390"/>
      <c r="K46" s="390"/>
      <c r="L46" s="396">
        <f t="shared" ref="L46" si="15">I46/F46</f>
        <v>1</v>
      </c>
      <c r="N46" s="95"/>
    </row>
    <row r="47" spans="1:19" ht="13.5" customHeight="1" x14ac:dyDescent="0.25">
      <c r="A47" s="401"/>
      <c r="B47" s="406"/>
      <c r="C47" s="390"/>
      <c r="D47" s="390"/>
      <c r="E47" s="95"/>
      <c r="F47" s="108"/>
      <c r="G47" s="390"/>
      <c r="H47" s="390"/>
      <c r="I47" s="390"/>
      <c r="J47" s="390"/>
      <c r="K47" s="390"/>
      <c r="L47" s="394"/>
      <c r="N47" s="95"/>
    </row>
    <row r="48" spans="1:19" s="125" customFormat="1" ht="13.8" thickBot="1" x14ac:dyDescent="0.3">
      <c r="A48" s="402" t="s">
        <v>224</v>
      </c>
      <c r="B48" s="405"/>
      <c r="C48" s="395" t="e">
        <f>C26+C34+C46</f>
        <v>#REF!</v>
      </c>
      <c r="D48" s="395">
        <f>D26+D34+D46</f>
        <v>5461778</v>
      </c>
      <c r="F48" s="365">
        <f>F44+F46</f>
        <v>794504857.42000008</v>
      </c>
      <c r="G48" s="395">
        <f>G44+G46</f>
        <v>0.32000000774860382</v>
      </c>
      <c r="H48" s="395">
        <f>H44+H46</f>
        <v>-862720</v>
      </c>
      <c r="I48" s="395">
        <f>I44+I46</f>
        <v>-943920</v>
      </c>
      <c r="J48" s="395" t="e">
        <f>J26+J34+J46</f>
        <v>#REF!</v>
      </c>
      <c r="K48" s="395" t="e">
        <f>K26+K34+K46</f>
        <v>#REF!</v>
      </c>
      <c r="L48" s="393">
        <f t="shared" ref="L48" si="16">I48/F48</f>
        <v>-1.1880607037006627E-3</v>
      </c>
      <c r="S48" s="123"/>
    </row>
    <row r="49" spans="1:19" s="356" customFormat="1" ht="13.8" thickTop="1" x14ac:dyDescent="0.25">
      <c r="A49" s="117"/>
      <c r="B49" s="117"/>
      <c r="C49" s="154"/>
      <c r="D49" s="154"/>
      <c r="E49" s="355"/>
      <c r="F49" s="154"/>
      <c r="G49" s="154"/>
      <c r="H49" s="154"/>
      <c r="I49" s="154"/>
      <c r="J49" s="154"/>
      <c r="K49" s="154"/>
      <c r="L49" s="354"/>
      <c r="N49" s="126"/>
      <c r="O49" s="168"/>
      <c r="S49" s="355"/>
    </row>
    <row r="53" spans="1:19" x14ac:dyDescent="0.25">
      <c r="B53" s="564" t="s">
        <v>27</v>
      </c>
      <c r="D53" s="565" t="s">
        <v>260</v>
      </c>
    </row>
    <row r="54" spans="1:19" x14ac:dyDescent="0.25">
      <c r="B54" s="564"/>
      <c r="D54" s="565"/>
    </row>
    <row r="55" spans="1:19" x14ac:dyDescent="0.25">
      <c r="B55" s="564"/>
      <c r="D55" s="565"/>
    </row>
    <row r="56" spans="1:19" x14ac:dyDescent="0.25">
      <c r="B56" s="399" t="s">
        <v>256</v>
      </c>
      <c r="D56" s="410"/>
    </row>
    <row r="57" spans="1:19" x14ac:dyDescent="0.25">
      <c r="B57" s="397" t="s">
        <v>13</v>
      </c>
      <c r="D57" s="456">
        <f>+SUM(Myr:CC!S10)</f>
        <v>-455000</v>
      </c>
    </row>
    <row r="58" spans="1:19" x14ac:dyDescent="0.25">
      <c r="B58" s="397" t="s">
        <v>10</v>
      </c>
      <c r="D58" s="456">
        <f>+SUM(Myr:CC!S8)</f>
        <v>-350000</v>
      </c>
    </row>
    <row r="59" spans="1:19" x14ac:dyDescent="0.25">
      <c r="B59" s="397" t="s">
        <v>12</v>
      </c>
      <c r="D59" s="456">
        <f>+SUM(Myr:CC!S9)</f>
        <v>-150000</v>
      </c>
    </row>
    <row r="60" spans="1:19" x14ac:dyDescent="0.25">
      <c r="B60" s="397" t="s">
        <v>4</v>
      </c>
      <c r="D60" s="456">
        <f>+SUM(Myr:CC!S5)</f>
        <v>-135000</v>
      </c>
    </row>
    <row r="61" spans="1:19" x14ac:dyDescent="0.25">
      <c r="B61" s="397" t="s">
        <v>6</v>
      </c>
      <c r="D61" s="456">
        <f>+SUM(Myr:CC!S6)</f>
        <v>-30000</v>
      </c>
    </row>
    <row r="62" spans="1:19" x14ac:dyDescent="0.25">
      <c r="B62" s="397" t="s">
        <v>8</v>
      </c>
      <c r="D62" s="456">
        <f>+SUM(Myr:CC!S7)</f>
        <v>0</v>
      </c>
    </row>
    <row r="63" spans="1:19" x14ac:dyDescent="0.25">
      <c r="B63" s="397" t="s">
        <v>3</v>
      </c>
      <c r="D63" s="456">
        <f>+SUM(Myr:CC!S4)</f>
        <v>100000</v>
      </c>
    </row>
    <row r="64" spans="1:19" x14ac:dyDescent="0.25">
      <c r="B64" s="397" t="s">
        <v>2</v>
      </c>
      <c r="D64" s="456">
        <f>+SUM(Myr:CC!S3)</f>
        <v>837000</v>
      </c>
    </row>
    <row r="65" spans="2:4" x14ac:dyDescent="0.25">
      <c r="B65" s="408" t="s">
        <v>257</v>
      </c>
      <c r="D65" s="458">
        <f>SUM(D57:D64)</f>
        <v>-183000</v>
      </c>
    </row>
    <row r="66" spans="2:4" x14ac:dyDescent="0.25">
      <c r="B66" s="408" t="s">
        <v>258</v>
      </c>
      <c r="D66" s="457"/>
    </row>
    <row r="67" spans="2:4" x14ac:dyDescent="0.25">
      <c r="B67" s="397" t="s">
        <v>18</v>
      </c>
      <c r="D67" s="456">
        <f>+SUM(Myr:CC!S15)</f>
        <v>-3125000</v>
      </c>
    </row>
    <row r="68" spans="2:4" x14ac:dyDescent="0.25">
      <c r="B68" s="397" t="s">
        <v>24</v>
      </c>
      <c r="D68" s="456">
        <f>+SUM(Myr:CC!S21)</f>
        <v>-1984000</v>
      </c>
    </row>
    <row r="69" spans="2:4" x14ac:dyDescent="0.25">
      <c r="B69" s="397" t="s">
        <v>16</v>
      </c>
      <c r="D69" s="456">
        <f>+SUM(Myr:CC!S13)</f>
        <v>-693000</v>
      </c>
    </row>
    <row r="70" spans="2:4" x14ac:dyDescent="0.25">
      <c r="B70" s="397" t="s">
        <v>21</v>
      </c>
      <c r="D70" s="456">
        <f>+SUM(Myr:CC!S18)</f>
        <v>-598120</v>
      </c>
    </row>
    <row r="71" spans="2:4" x14ac:dyDescent="0.25">
      <c r="B71" s="397" t="s">
        <v>15</v>
      </c>
      <c r="D71" s="456">
        <f>+SUM(Myr:CC!S12)</f>
        <v>-170000</v>
      </c>
    </row>
    <row r="72" spans="2:4" x14ac:dyDescent="0.25">
      <c r="B72" s="397" t="s">
        <v>14</v>
      </c>
      <c r="D72" s="456">
        <f>+SUM(Myr:CC!S11)</f>
        <v>-114000</v>
      </c>
    </row>
    <row r="73" spans="2:4" x14ac:dyDescent="0.25">
      <c r="B73" s="397" t="s">
        <v>20</v>
      </c>
      <c r="D73" s="456">
        <f>+SUM(Myr:CC!S17)</f>
        <v>0</v>
      </c>
    </row>
    <row r="74" spans="2:4" x14ac:dyDescent="0.25">
      <c r="B74" s="397" t="s">
        <v>17</v>
      </c>
      <c r="D74" s="456">
        <f>+SUM(Myr:CC!S14)</f>
        <v>17700</v>
      </c>
    </row>
    <row r="75" spans="2:4" x14ac:dyDescent="0.25">
      <c r="B75" s="397" t="s">
        <v>22</v>
      </c>
      <c r="D75" s="456">
        <f>+SUM(Myr:CC!S19)</f>
        <v>289000</v>
      </c>
    </row>
    <row r="76" spans="2:4" x14ac:dyDescent="0.25">
      <c r="B76" s="397" t="s">
        <v>19</v>
      </c>
      <c r="D76" s="456">
        <f>+SUM(Myr:CC!S16)</f>
        <v>489500</v>
      </c>
    </row>
    <row r="77" spans="2:4" x14ac:dyDescent="0.25">
      <c r="B77" s="397" t="s">
        <v>23</v>
      </c>
      <c r="D77" s="456">
        <f>+SUM(Myr:CC!S20)</f>
        <v>637000</v>
      </c>
    </row>
    <row r="78" spans="2:4" x14ac:dyDescent="0.25">
      <c r="B78" s="408" t="s">
        <v>259</v>
      </c>
      <c r="D78" s="458">
        <f>SUM(D67:D77)</f>
        <v>-5250920</v>
      </c>
    </row>
    <row r="79" spans="2:4" x14ac:dyDescent="0.25">
      <c r="B79" s="409"/>
      <c r="D79" s="457"/>
    </row>
    <row r="80" spans="2:4" x14ac:dyDescent="0.25">
      <c r="B80" s="408" t="s">
        <v>261</v>
      </c>
      <c r="D80" s="458">
        <f>+D65+D78</f>
        <v>-5433920</v>
      </c>
    </row>
    <row r="81" spans="2:4" x14ac:dyDescent="0.25">
      <c r="D81" s="97"/>
    </row>
    <row r="82" spans="2:4" x14ac:dyDescent="0.25">
      <c r="B82" s="95" t="s">
        <v>262</v>
      </c>
      <c r="D82" s="97">
        <f>+I36</f>
        <v>-5433920</v>
      </c>
    </row>
    <row r="83" spans="2:4" ht="13.8" thickBot="1" x14ac:dyDescent="0.3">
      <c r="B83" s="95" t="s">
        <v>263</v>
      </c>
      <c r="D83" s="411">
        <f>+D80-D82</f>
        <v>0</v>
      </c>
    </row>
    <row r="84" spans="2:4" ht="13.8" thickTop="1" x14ac:dyDescent="0.25">
      <c r="D84" s="97"/>
    </row>
  </sheetData>
  <mergeCells count="12">
    <mergeCell ref="B53:B55"/>
    <mergeCell ref="D53:D55"/>
    <mergeCell ref="L1:L3"/>
    <mergeCell ref="C1:C3"/>
    <mergeCell ref="D1:D3"/>
    <mergeCell ref="F1:F3"/>
    <mergeCell ref="K1:K3"/>
    <mergeCell ref="A1:B3"/>
    <mergeCell ref="G1:G3"/>
    <mergeCell ref="H1:H3"/>
    <mergeCell ref="I1:I3"/>
    <mergeCell ref="J1:J3"/>
  </mergeCells>
  <conditionalFormatting sqref="B24">
    <cfRule type="expression" dxfId="6" priority="9" stopIfTrue="1">
      <formula>OR(#REF!-#REF!&gt;1,#REF!-#REF!&lt;-1)</formula>
    </cfRule>
  </conditionalFormatting>
  <conditionalFormatting sqref="B19">
    <cfRule type="expression" dxfId="5" priority="8" stopIfTrue="1">
      <formula>OR(#REF!-#REF!&gt;1,#REF!-#REF!&lt;-1)</formula>
    </cfRule>
  </conditionalFormatting>
  <conditionalFormatting sqref="B22 B4">
    <cfRule type="expression" dxfId="4" priority="7" stopIfTrue="1">
      <formula>OR(#REF!-#REF!&gt;1,#REF!-#REF!&lt;-1)</formula>
    </cfRule>
  </conditionalFormatting>
  <conditionalFormatting sqref="B43 B45 B39:B41 B7:B16 B25 B18:B23 B4:B5 B29:B33">
    <cfRule type="expression" dxfId="3" priority="6" stopIfTrue="1">
      <formula>OR(#REF!-#REF!&gt;1,#REF!-#REF!&lt;-1)</formula>
    </cfRule>
  </conditionalFormatting>
  <conditionalFormatting sqref="B17">
    <cfRule type="expression" dxfId="2" priority="5" stopIfTrue="1">
      <formula>OR(#REF!-#REF!&gt;1,#REF!-#REF!&lt;-1)</formula>
    </cfRule>
  </conditionalFormatting>
  <conditionalFormatting sqref="B17">
    <cfRule type="expression" dxfId="1" priority="4" stopIfTrue="1">
      <formula>OR(#REF!-#REF!&gt;1,#REF!-#REF!&lt;-1)</formula>
    </cfRule>
  </conditionalFormatting>
  <conditionalFormatting sqref="B46 B24:B25 B22 B19:B20 B13 B8 B10 B16 B4:B6">
    <cfRule type="expression" dxfId="0" priority="3" stopIfTrue="1">
      <formula>OR(#REF!-#REF!&gt;1,#REF!-#REF!&lt;-1)</formula>
    </cfRule>
  </conditionalFormatting>
  <printOptions horizontalCentered="1"/>
  <pageMargins left="3.937007874015748E-2" right="3.937007874015748E-2" top="0.70866141732283472" bottom="0.23622047244094491" header="0.35433070866141736" footer="0.11811023622047245"/>
  <pageSetup firstPageNumber="0" fitToHeight="0" orientation="portrait" r:id="rId1"/>
  <headerFooter alignWithMargins="0">
    <oddHeader xml:space="preserve">&amp;C&amp;"Times New Roman,Regular"Components of the 2014 2nd Quarter Operating Budget Variance Report&amp;R&amp;"Times New Roman,Regular"APPENDIX A  </oddHeader>
  </headerFooter>
  <rowBreaks count="1" manualBreakCount="1">
    <brk id="52" max="11"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W60"/>
  <sheetViews>
    <sheetView zoomScaleNormal="100" workbookViewId="0">
      <selection activeCell="B23" sqref="B23:L2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hidden="1" customWidth="1"/>
    <col min="16" max="17" width="9.109375" style="12" hidden="1" customWidth="1"/>
    <col min="18" max="18" width="12.109375" style="12" hidden="1" customWidth="1"/>
    <col min="19" max="19" width="11" style="37" hidden="1" customWidth="1"/>
    <col min="20" max="16384" width="9.109375" style="83"/>
  </cols>
  <sheetData>
    <row r="1" spans="1:20" ht="15.6" x14ac:dyDescent="0.25">
      <c r="A1" s="1" t="s">
        <v>169</v>
      </c>
      <c r="B1" s="2"/>
      <c r="C1" s="2"/>
      <c r="D1" s="2"/>
      <c r="E1" s="2"/>
      <c r="F1" s="2"/>
      <c r="G1" s="2"/>
      <c r="H1" s="2"/>
      <c r="I1" s="2"/>
      <c r="J1" s="2"/>
      <c r="K1" s="2"/>
      <c r="L1" s="2"/>
      <c r="M1" s="2"/>
      <c r="O1" s="4"/>
      <c r="P1" s="4"/>
      <c r="Q1" s="4"/>
      <c r="R1" s="4"/>
      <c r="S1" s="5"/>
      <c r="T1" s="210" t="s">
        <v>209</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522603</v>
      </c>
      <c r="F5" s="18">
        <v>660188</v>
      </c>
      <c r="G5" s="18">
        <v>0</v>
      </c>
      <c r="I5" s="86" t="s">
        <v>38</v>
      </c>
      <c r="J5" s="73"/>
      <c r="K5" s="73"/>
      <c r="L5" s="73">
        <v>0</v>
      </c>
      <c r="O5" s="15" t="s">
        <v>4</v>
      </c>
      <c r="S5" s="10">
        <f t="shared" si="0"/>
        <v>0</v>
      </c>
    </row>
    <row r="6" spans="1:20" x14ac:dyDescent="0.25">
      <c r="B6" s="16" t="s">
        <v>7</v>
      </c>
      <c r="C6" s="17"/>
      <c r="D6" s="12"/>
      <c r="E6" s="18">
        <v>89358</v>
      </c>
      <c r="F6" s="18">
        <v>92840</v>
      </c>
      <c r="G6" s="18">
        <v>0</v>
      </c>
      <c r="I6" s="87" t="s">
        <v>39</v>
      </c>
      <c r="J6" s="18">
        <v>0</v>
      </c>
      <c r="K6" s="18">
        <v>0</v>
      </c>
      <c r="L6" s="221"/>
      <c r="O6" s="15" t="s">
        <v>6</v>
      </c>
      <c r="S6" s="10">
        <f t="shared" si="0"/>
        <v>0</v>
      </c>
    </row>
    <row r="7" spans="1:20" x14ac:dyDescent="0.25">
      <c r="B7" s="21" t="s">
        <v>9</v>
      </c>
      <c r="C7" s="22"/>
      <c r="D7" s="23"/>
      <c r="E7" s="24">
        <v>98228</v>
      </c>
      <c r="F7" s="24">
        <v>91012</v>
      </c>
      <c r="G7" s="24">
        <f>G6-L6</f>
        <v>0</v>
      </c>
      <c r="I7" s="87" t="s">
        <v>40</v>
      </c>
      <c r="J7" s="18">
        <v>0</v>
      </c>
      <c r="K7" s="18">
        <v>0</v>
      </c>
      <c r="L7" s="221"/>
      <c r="O7" s="15" t="s">
        <v>8</v>
      </c>
      <c r="P7" s="20"/>
      <c r="S7" s="10">
        <f t="shared" si="0"/>
        <v>0</v>
      </c>
    </row>
    <row r="8" spans="1:20" x14ac:dyDescent="0.25">
      <c r="B8" s="26" t="s">
        <v>11</v>
      </c>
      <c r="C8" s="27"/>
      <c r="D8" s="28"/>
      <c r="E8" s="29">
        <v>-8870</v>
      </c>
      <c r="F8" s="29">
        <v>1828</v>
      </c>
      <c r="G8" s="29">
        <f>G6-G7</f>
        <v>0</v>
      </c>
      <c r="I8" s="88" t="s">
        <v>43</v>
      </c>
      <c r="J8" s="74">
        <f>E8</f>
        <v>-8870</v>
      </c>
      <c r="K8" s="74">
        <f>F8</f>
        <v>1828</v>
      </c>
      <c r="L8" s="222"/>
      <c r="O8" s="15" t="s">
        <v>10</v>
      </c>
      <c r="P8" s="25"/>
      <c r="S8" s="10">
        <f t="shared" si="0"/>
        <v>0</v>
      </c>
    </row>
    <row r="9" spans="1:20" x14ac:dyDescent="0.25">
      <c r="B9" s="32" t="s">
        <v>37</v>
      </c>
      <c r="C9" s="33"/>
      <c r="D9" s="23"/>
      <c r="E9" s="34">
        <f>IF(ISERROR(IF(E8=0,"",(E8/$E$5))),"",(IF(E8=0,"",(E8/$E$5))))</f>
        <v>-1.6972730734419818E-2</v>
      </c>
      <c r="F9" s="34">
        <f>IF(ISERROR(IF(F8=0,"",(F8/$F$5))),"",(IF(F8=0,"",(F8/$F$5))))</f>
        <v>2.7689082503771652E-3</v>
      </c>
      <c r="G9" s="34" t="str">
        <f>IF(ISERROR(IF(G8=0,"",(G8/$G$5))),"",(IF(G8=0,"",(G8/$G$5))))</f>
        <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5" customHeight="1" x14ac:dyDescent="0.25">
      <c r="A23" s="39"/>
      <c r="B23" s="572"/>
      <c r="C23" s="572"/>
      <c r="D23" s="572"/>
      <c r="E23" s="572"/>
      <c r="F23" s="572"/>
      <c r="G23" s="572"/>
      <c r="H23" s="572"/>
      <c r="I23" s="572"/>
      <c r="J23" s="572"/>
      <c r="K23" s="572"/>
      <c r="L23" s="572"/>
      <c r="O23" s="15"/>
      <c r="P23" s="12"/>
      <c r="Q23" s="12"/>
      <c r="R23" s="12"/>
      <c r="S23" s="10"/>
    </row>
    <row r="24" spans="1:19" s="41" customFormat="1" ht="13.8" x14ac:dyDescent="0.25">
      <c r="A24" s="39"/>
      <c r="B24" s="572"/>
      <c r="C24" s="572"/>
      <c r="D24" s="572"/>
      <c r="E24" s="572"/>
      <c r="F24" s="572"/>
      <c r="G24" s="572"/>
      <c r="H24" s="572"/>
      <c r="I24" s="572"/>
      <c r="J24" s="572"/>
      <c r="K24" s="572"/>
      <c r="L24" s="572"/>
      <c r="O24" s="15"/>
      <c r="P24" s="12"/>
      <c r="Q24" s="12"/>
      <c r="R24" s="12"/>
      <c r="S24" s="10"/>
    </row>
    <row r="25" spans="1:19" s="41" customFormat="1" ht="13.8" x14ac:dyDescent="0.25">
      <c r="A25" s="39"/>
      <c r="B25" s="572"/>
      <c r="C25" s="572"/>
      <c r="D25" s="572"/>
      <c r="E25" s="572"/>
      <c r="F25" s="572"/>
      <c r="G25" s="572"/>
      <c r="H25" s="572"/>
      <c r="I25" s="572"/>
      <c r="J25" s="572"/>
      <c r="K25" s="572"/>
      <c r="L25" s="572"/>
      <c r="O25" s="15"/>
      <c r="P25" s="12"/>
      <c r="Q25" s="12"/>
      <c r="R25" s="12"/>
      <c r="S25" s="10"/>
    </row>
    <row r="26" spans="1:19" s="41" customFormat="1" ht="13.8" x14ac:dyDescent="0.25">
      <c r="B26" s="572"/>
      <c r="C26" s="572"/>
      <c r="D26" s="572"/>
      <c r="E26" s="572"/>
      <c r="F26" s="572"/>
      <c r="G26" s="572"/>
      <c r="H26" s="572"/>
      <c r="I26" s="572"/>
      <c r="J26" s="572"/>
      <c r="K26" s="572"/>
      <c r="L26" s="572"/>
      <c r="O26" s="15"/>
      <c r="P26" s="12"/>
      <c r="Q26" s="12"/>
      <c r="R26" s="12"/>
      <c r="S26" s="10"/>
    </row>
    <row r="27" spans="1:19" s="41" customFormat="1" ht="15.75" customHeight="1" x14ac:dyDescent="0.25">
      <c r="A27" s="39"/>
      <c r="B27" s="572"/>
      <c r="C27" s="572"/>
      <c r="D27" s="572"/>
      <c r="E27" s="572"/>
      <c r="F27" s="572"/>
      <c r="G27" s="572"/>
      <c r="H27" s="572"/>
      <c r="I27" s="572"/>
      <c r="J27" s="572"/>
      <c r="K27" s="572"/>
      <c r="L27" s="572"/>
      <c r="O27" s="15"/>
      <c r="P27" s="12"/>
      <c r="Q27" s="12"/>
      <c r="R27" s="12"/>
      <c r="S27" s="10"/>
    </row>
    <row r="28" spans="1:19" s="41" customFormat="1" ht="15.75" customHeight="1" x14ac:dyDescent="0.25">
      <c r="A28" s="39"/>
      <c r="B28" s="576"/>
      <c r="C28" s="576"/>
      <c r="D28" s="576"/>
      <c r="E28" s="576"/>
      <c r="F28" s="576"/>
      <c r="G28" s="576"/>
      <c r="H28" s="576"/>
      <c r="I28" s="576"/>
      <c r="J28" s="576"/>
      <c r="K28" s="576"/>
      <c r="L28" s="576"/>
      <c r="O28" s="15"/>
      <c r="P28" s="12"/>
      <c r="Q28" s="12"/>
      <c r="R28" s="12"/>
      <c r="S28" s="10"/>
    </row>
    <row r="29" spans="1:19" s="41" customFormat="1" ht="13.8" x14ac:dyDescent="0.25">
      <c r="A29" s="39"/>
      <c r="B29" s="576"/>
      <c r="C29" s="576"/>
      <c r="D29" s="576"/>
      <c r="E29" s="576"/>
      <c r="F29" s="576"/>
      <c r="G29" s="576"/>
      <c r="H29" s="576"/>
      <c r="I29" s="576"/>
      <c r="J29" s="576"/>
      <c r="K29" s="576"/>
      <c r="L29" s="576"/>
      <c r="O29" s="15"/>
      <c r="P29" s="12"/>
      <c r="Q29" s="12"/>
      <c r="R29" s="12"/>
      <c r="S29" s="10"/>
    </row>
    <row r="30" spans="1:19" s="41" customFormat="1" ht="15.75" customHeight="1" x14ac:dyDescent="0.25">
      <c r="A30" s="39"/>
      <c r="B30" s="576"/>
      <c r="C30" s="576"/>
      <c r="D30" s="576"/>
      <c r="E30" s="576"/>
      <c r="F30" s="576"/>
      <c r="G30" s="576"/>
      <c r="H30" s="576"/>
      <c r="I30" s="576"/>
      <c r="J30" s="576"/>
      <c r="K30" s="576"/>
      <c r="L30" s="576"/>
      <c r="O30" s="15"/>
      <c r="P30" s="12"/>
      <c r="Q30" s="12"/>
      <c r="R30" s="12"/>
      <c r="S30" s="10"/>
    </row>
    <row r="31" spans="1:19" s="41" customFormat="1" ht="15.75" customHeight="1" x14ac:dyDescent="0.25">
      <c r="A31" s="39"/>
      <c r="B31" s="576"/>
      <c r="C31" s="576"/>
      <c r="D31" s="576"/>
      <c r="E31" s="576"/>
      <c r="F31" s="576"/>
      <c r="G31" s="576"/>
      <c r="H31" s="576"/>
      <c r="I31" s="576"/>
      <c r="J31" s="576"/>
      <c r="K31" s="576"/>
      <c r="L31" s="576"/>
      <c r="O31" s="15"/>
      <c r="P31" s="12"/>
      <c r="Q31" s="12"/>
      <c r="R31" s="12"/>
      <c r="S31" s="10"/>
    </row>
    <row r="32" spans="1:19" s="41" customFormat="1" ht="15.75" customHeight="1" x14ac:dyDescent="0.25">
      <c r="A32" s="39"/>
      <c r="B32" s="576"/>
      <c r="C32" s="576"/>
      <c r="D32" s="576"/>
      <c r="E32" s="576"/>
      <c r="F32" s="576"/>
      <c r="G32" s="576"/>
      <c r="H32" s="576"/>
      <c r="I32" s="576"/>
      <c r="J32" s="576"/>
      <c r="K32" s="576"/>
      <c r="L32" s="576"/>
      <c r="O32" s="15"/>
      <c r="P32" s="12"/>
      <c r="Q32" s="12"/>
      <c r="R32" s="12"/>
      <c r="S32" s="10"/>
    </row>
    <row r="33" spans="1:23" s="41" customFormat="1" ht="15.75" customHeight="1" x14ac:dyDescent="0.25">
      <c r="A33" s="39"/>
      <c r="B33" s="576"/>
      <c r="C33" s="576"/>
      <c r="D33" s="576"/>
      <c r="E33" s="576"/>
      <c r="F33" s="576"/>
      <c r="G33" s="576"/>
      <c r="H33" s="576"/>
      <c r="I33" s="576"/>
      <c r="J33" s="576"/>
      <c r="K33" s="576"/>
      <c r="L33" s="576"/>
      <c r="O33" s="15"/>
      <c r="P33" s="12"/>
      <c r="Q33" s="12"/>
      <c r="R33" s="12"/>
      <c r="S33" s="10"/>
    </row>
    <row r="34" spans="1:23" s="41" customFormat="1" ht="15.75" customHeight="1" x14ac:dyDescent="0.25">
      <c r="A34" s="39"/>
      <c r="B34" s="576"/>
      <c r="C34" s="576"/>
      <c r="D34" s="576"/>
      <c r="E34" s="576"/>
      <c r="F34" s="576"/>
      <c r="G34" s="576"/>
      <c r="H34" s="576"/>
      <c r="I34" s="576"/>
      <c r="J34" s="576"/>
      <c r="K34" s="576"/>
      <c r="L34" s="576"/>
      <c r="O34" s="15"/>
      <c r="P34" s="12"/>
      <c r="Q34" s="12"/>
      <c r="R34" s="12"/>
      <c r="S34" s="10"/>
    </row>
    <row r="35" spans="1:23" s="41" customFormat="1" ht="13.8" x14ac:dyDescent="0.25">
      <c r="A35" s="75"/>
      <c r="B35" s="576"/>
      <c r="C35" s="576"/>
      <c r="D35" s="576"/>
      <c r="E35" s="576"/>
      <c r="F35" s="576"/>
      <c r="G35" s="576"/>
      <c r="H35" s="576"/>
      <c r="I35" s="576"/>
      <c r="J35" s="576"/>
      <c r="K35" s="576"/>
      <c r="L35" s="576"/>
      <c r="O35" s="15"/>
      <c r="P35" s="12"/>
      <c r="Q35" s="12"/>
      <c r="R35" s="12"/>
      <c r="S35" s="10"/>
    </row>
    <row r="36" spans="1:23" s="41" customFormat="1" ht="5.25" customHeight="1" x14ac:dyDescent="0.25">
      <c r="A36" s="44"/>
      <c r="B36" s="44"/>
      <c r="C36" s="44"/>
      <c r="D36" s="44"/>
      <c r="E36" s="44"/>
      <c r="F36" s="44"/>
      <c r="G36" s="44"/>
      <c r="H36" s="45"/>
      <c r="I36" s="45"/>
      <c r="J36" s="46"/>
      <c r="K36" s="47"/>
      <c r="L36" s="47"/>
      <c r="M36" s="47"/>
      <c r="O36" s="15"/>
      <c r="P36" s="12"/>
      <c r="Q36" s="12"/>
      <c r="R36" s="12"/>
      <c r="S36" s="37"/>
    </row>
    <row r="37" spans="1:23" s="41" customFormat="1" ht="13.8" x14ac:dyDescent="0.25">
      <c r="A37" s="43"/>
      <c r="B37" s="48" t="s">
        <v>26</v>
      </c>
      <c r="D37" s="42"/>
      <c r="E37" s="42"/>
      <c r="F37" s="42"/>
      <c r="G37" s="42"/>
      <c r="H37" s="49"/>
      <c r="I37" s="50"/>
      <c r="J37" s="51"/>
      <c r="K37" s="51"/>
      <c r="O37" s="15"/>
      <c r="P37" s="12"/>
      <c r="Q37" s="12"/>
      <c r="R37" s="12"/>
      <c r="S37" s="37"/>
    </row>
    <row r="38" spans="1:23" s="41" customFormat="1" ht="13.8" x14ac:dyDescent="0.25">
      <c r="A38" s="43"/>
      <c r="B38" s="52"/>
      <c r="D38" s="42"/>
      <c r="E38" s="42"/>
      <c r="F38" s="42"/>
      <c r="G38" s="42"/>
      <c r="H38" s="53"/>
      <c r="I38" s="53" t="s">
        <v>27</v>
      </c>
      <c r="J38" s="42"/>
      <c r="L38" s="54" t="s">
        <v>28</v>
      </c>
      <c r="O38" s="15"/>
      <c r="P38" s="12"/>
      <c r="Q38" s="12"/>
      <c r="R38" s="12"/>
      <c r="S38" s="37"/>
    </row>
    <row r="39" spans="1:23" s="41" customFormat="1" ht="13.8" x14ac:dyDescent="0.25">
      <c r="A39" s="43"/>
      <c r="B39" s="55" t="s">
        <v>29</v>
      </c>
      <c r="C39" s="56"/>
      <c r="D39" s="42"/>
      <c r="E39" s="42"/>
      <c r="F39" s="42"/>
      <c r="G39" s="57"/>
      <c r="H39" s="57"/>
      <c r="I39" s="593"/>
      <c r="J39" s="593"/>
      <c r="K39" s="593"/>
      <c r="L39" s="58"/>
      <c r="M39" s="41" t="s">
        <v>203</v>
      </c>
      <c r="O39" s="43"/>
      <c r="S39" s="40"/>
    </row>
    <row r="40" spans="1:23" s="41" customFormat="1" ht="13.8" x14ac:dyDescent="0.25">
      <c r="A40" s="43"/>
      <c r="B40" s="55"/>
      <c r="C40" s="56"/>
      <c r="D40" s="42"/>
      <c r="E40" s="42"/>
      <c r="F40" s="42"/>
      <c r="G40" s="57"/>
      <c r="H40" s="57"/>
      <c r="I40" s="593"/>
      <c r="J40" s="593"/>
      <c r="K40" s="593"/>
      <c r="L40" s="59"/>
      <c r="O40" s="43"/>
      <c r="S40" s="40"/>
    </row>
    <row r="41" spans="1:23" s="41" customFormat="1" ht="13.8" x14ac:dyDescent="0.25">
      <c r="A41" s="43"/>
      <c r="B41" s="55"/>
      <c r="C41" s="56"/>
      <c r="D41" s="42"/>
      <c r="E41" s="42"/>
      <c r="F41" s="42"/>
      <c r="G41" s="57"/>
      <c r="H41" s="57"/>
      <c r="I41" s="593"/>
      <c r="J41" s="593"/>
      <c r="K41" s="593"/>
      <c r="L41" s="59"/>
      <c r="O41" s="43"/>
      <c r="S41" s="40"/>
    </row>
    <row r="42" spans="1:23" s="62" customFormat="1" ht="14.4" thickBot="1" x14ac:dyDescent="0.3">
      <c r="A42" s="60"/>
      <c r="B42" s="61" t="s">
        <v>184</v>
      </c>
      <c r="E42" s="52"/>
      <c r="F42" s="52"/>
      <c r="G42" s="63"/>
      <c r="H42" s="51"/>
      <c r="I42" s="63"/>
      <c r="J42" s="42"/>
      <c r="L42" s="64">
        <f>SUM(L39:L41)</f>
        <v>0</v>
      </c>
      <c r="M42" s="41"/>
      <c r="N42" s="41"/>
      <c r="O42" s="43"/>
      <c r="P42" s="41"/>
      <c r="Q42" s="41"/>
      <c r="R42" s="41"/>
      <c r="S42" s="40"/>
    </row>
    <row r="43" spans="1:23" s="41" customFormat="1" ht="8.25" customHeight="1" thickTop="1" x14ac:dyDescent="0.25">
      <c r="A43" s="65"/>
      <c r="B43" s="66"/>
      <c r="C43" s="66"/>
      <c r="D43" s="66"/>
      <c r="E43" s="66"/>
      <c r="F43" s="66"/>
      <c r="G43" s="66"/>
      <c r="H43" s="66"/>
      <c r="I43" s="66"/>
      <c r="J43" s="67"/>
      <c r="K43" s="67"/>
      <c r="L43" s="47"/>
      <c r="M43" s="47"/>
      <c r="O43" s="43"/>
      <c r="W43" s="40"/>
    </row>
    <row r="44" spans="1:23" s="41" customFormat="1" ht="3.75" customHeight="1" x14ac:dyDescent="0.25">
      <c r="A44" s="39"/>
      <c r="B44" s="68"/>
      <c r="C44" s="68"/>
      <c r="D44" s="68"/>
      <c r="E44" s="68"/>
      <c r="F44" s="68"/>
      <c r="G44" s="68"/>
      <c r="H44" s="68"/>
      <c r="I44" s="68"/>
      <c r="J44" s="69"/>
      <c r="K44" s="69"/>
      <c r="O44" s="43"/>
      <c r="W44" s="40"/>
    </row>
    <row r="45" spans="1:23" s="41" customFormat="1" ht="13.8" x14ac:dyDescent="0.25">
      <c r="A45" s="43"/>
      <c r="B45" s="6" t="s">
        <v>34</v>
      </c>
      <c r="C45" s="70"/>
      <c r="D45" s="70"/>
      <c r="E45" s="70"/>
      <c r="F45" s="70"/>
      <c r="G45" s="70"/>
      <c r="H45" s="70"/>
      <c r="I45" s="70"/>
      <c r="J45" s="89"/>
      <c r="K45" s="89"/>
      <c r="O45" s="43"/>
      <c r="W45" s="40"/>
    </row>
    <row r="46" spans="1:23" s="41" customFormat="1" ht="15" customHeight="1" x14ac:dyDescent="0.25">
      <c r="A46" s="43"/>
      <c r="B46" s="576"/>
      <c r="C46" s="576"/>
      <c r="D46" s="576"/>
      <c r="E46" s="576"/>
      <c r="F46" s="576"/>
      <c r="G46" s="576"/>
      <c r="H46" s="576"/>
      <c r="I46" s="576"/>
      <c r="J46" s="576"/>
      <c r="K46" s="576"/>
      <c r="L46" s="576"/>
      <c r="O46" s="43"/>
      <c r="W46" s="40"/>
    </row>
    <row r="47" spans="1:23" ht="13.8" x14ac:dyDescent="0.25">
      <c r="B47" s="576"/>
      <c r="C47" s="576"/>
      <c r="D47" s="576"/>
      <c r="E47" s="576"/>
      <c r="F47" s="576"/>
      <c r="G47" s="576"/>
      <c r="H47" s="576"/>
      <c r="I47" s="576"/>
      <c r="J47" s="576"/>
      <c r="K47" s="576"/>
      <c r="L47" s="576"/>
      <c r="M47" s="41"/>
      <c r="N47" s="41"/>
      <c r="O47" s="43"/>
      <c r="P47" s="41"/>
      <c r="Q47" s="41"/>
      <c r="R47" s="41"/>
      <c r="S47" s="40"/>
    </row>
    <row r="48" spans="1:23" s="41" customFormat="1" ht="8.25" customHeight="1" thickBot="1" x14ac:dyDescent="0.3">
      <c r="A48" s="77"/>
      <c r="B48" s="78"/>
      <c r="C48" s="78"/>
      <c r="D48" s="78"/>
      <c r="E48" s="78"/>
      <c r="F48" s="78"/>
      <c r="G48" s="78"/>
      <c r="H48" s="78"/>
      <c r="I48" s="78"/>
      <c r="J48" s="79"/>
      <c r="K48" s="79"/>
      <c r="L48" s="80"/>
      <c r="M48" s="80"/>
      <c r="O48" s="43"/>
      <c r="W48" s="40"/>
    </row>
    <row r="49" spans="1:23" s="41" customFormat="1" ht="6.75" customHeight="1" x14ac:dyDescent="0.25">
      <c r="A49" s="39"/>
      <c r="B49" s="68"/>
      <c r="C49" s="68"/>
      <c r="D49" s="68"/>
      <c r="E49" s="68"/>
      <c r="F49" s="68"/>
      <c r="G49" s="68"/>
      <c r="H49" s="68"/>
      <c r="I49" s="68"/>
      <c r="J49" s="69"/>
      <c r="K49" s="69"/>
      <c r="O49" s="43"/>
      <c r="W49" s="40"/>
    </row>
    <row r="50" spans="1:23" ht="13.8" x14ac:dyDescent="0.25">
      <c r="B50" s="48"/>
      <c r="L50" s="41"/>
      <c r="M50" s="41"/>
      <c r="N50" s="41"/>
      <c r="O50" s="43"/>
      <c r="P50" s="41"/>
      <c r="Q50" s="41"/>
      <c r="R50" s="41"/>
      <c r="S50" s="59"/>
    </row>
    <row r="51" spans="1:23" ht="11.25" customHeight="1" x14ac:dyDescent="0.25">
      <c r="B51" s="48"/>
      <c r="L51" s="41"/>
      <c r="M51" s="41"/>
      <c r="N51" s="41"/>
      <c r="O51" s="43"/>
      <c r="P51" s="41"/>
      <c r="Q51" s="41"/>
      <c r="R51" s="41"/>
      <c r="S51" s="59"/>
    </row>
    <row r="52" spans="1:23" ht="13.8" x14ac:dyDescent="0.25">
      <c r="L52" s="41"/>
      <c r="M52" s="41"/>
      <c r="N52" s="41"/>
      <c r="O52" s="43"/>
      <c r="P52" s="41"/>
      <c r="Q52" s="41"/>
      <c r="R52" s="41"/>
      <c r="S52" s="40"/>
    </row>
    <row r="53" spans="1:23" ht="13.8" x14ac:dyDescent="0.25">
      <c r="L53" s="41"/>
      <c r="M53" s="41"/>
      <c r="N53" s="41"/>
      <c r="O53" s="43"/>
      <c r="P53" s="41"/>
      <c r="Q53" s="41"/>
      <c r="R53" s="41"/>
      <c r="S53" s="40"/>
    </row>
    <row r="54" spans="1:23" ht="13.8" x14ac:dyDescent="0.25">
      <c r="O54" s="41"/>
      <c r="P54" s="41"/>
      <c r="Q54" s="41"/>
      <c r="R54" s="41"/>
      <c r="S54" s="40"/>
    </row>
    <row r="55" spans="1:23" ht="13.8" x14ac:dyDescent="0.25">
      <c r="O55" s="41"/>
      <c r="P55" s="41"/>
      <c r="Q55" s="41"/>
      <c r="R55" s="41"/>
      <c r="S55" s="40"/>
    </row>
    <row r="56" spans="1:23" ht="13.8" x14ac:dyDescent="0.25">
      <c r="O56" s="41"/>
      <c r="P56" s="41"/>
      <c r="Q56" s="41"/>
      <c r="R56" s="41"/>
      <c r="S56" s="40"/>
    </row>
    <row r="57" spans="1:23" ht="15.6" x14ac:dyDescent="0.3">
      <c r="O57" s="71"/>
      <c r="P57" s="71"/>
      <c r="Q57" s="71"/>
      <c r="R57" s="71"/>
      <c r="S57" s="72"/>
    </row>
    <row r="58" spans="1:23" ht="15.6" x14ac:dyDescent="0.3">
      <c r="O58" s="71"/>
      <c r="P58" s="71"/>
      <c r="Q58" s="71"/>
      <c r="R58" s="71"/>
      <c r="S58" s="72"/>
    </row>
    <row r="59" spans="1:23" ht="15.6" x14ac:dyDescent="0.3">
      <c r="O59" s="71"/>
      <c r="P59" s="71"/>
      <c r="Q59" s="71"/>
      <c r="R59" s="71"/>
      <c r="S59" s="72"/>
    </row>
    <row r="60" spans="1:23" ht="15.6" x14ac:dyDescent="0.3">
      <c r="O60" s="71"/>
      <c r="P60" s="71"/>
      <c r="Q60" s="71"/>
      <c r="R60" s="71"/>
      <c r="S60" s="72"/>
    </row>
  </sheetData>
  <mergeCells count="7">
    <mergeCell ref="I41:K41"/>
    <mergeCell ref="B46:L47"/>
    <mergeCell ref="B23:L27"/>
    <mergeCell ref="B28:L31"/>
    <mergeCell ref="B32:L35"/>
    <mergeCell ref="I39:K39"/>
    <mergeCell ref="I40:K40"/>
  </mergeCells>
  <dataValidations count="3">
    <dataValidation type="list" allowBlank="1" showInputMessage="1" showErrorMessage="1" sqref="G39:G41">
      <formula1>$O$17:$O$19</formula1>
    </dataValidation>
    <dataValidation allowBlank="1" showErrorMessage="1" promptTitle="Do not change" sqref="B38"/>
    <dataValidation type="list" allowBlank="1" showInputMessage="1" showErrorMessage="1" sqref="I39:K41">
      <formula1>$O$3:$O$21</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&amp;CComponents of the 2014 Q2 Operating Budget Variance Report&amp;RAPPENDIX A</oddHeader>
    <oddFooter>&amp;CPage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W85"/>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3.10937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1" width="12.109375" style="83" customWidth="1"/>
    <col min="12" max="12" width="12.886718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170</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119581320</v>
      </c>
      <c r="F5" s="18">
        <v>117309462</v>
      </c>
      <c r="G5" s="18">
        <v>117277253.5</v>
      </c>
      <c r="I5" s="86" t="s">
        <v>38</v>
      </c>
      <c r="J5" s="73"/>
      <c r="K5" s="73"/>
      <c r="L5" s="73">
        <v>380000</v>
      </c>
      <c r="O5" s="15" t="s">
        <v>4</v>
      </c>
      <c r="S5" s="10">
        <f t="shared" si="0"/>
        <v>0</v>
      </c>
    </row>
    <row r="6" spans="1:19" x14ac:dyDescent="0.25">
      <c r="B6" s="16" t="s">
        <v>7</v>
      </c>
      <c r="C6" s="17"/>
      <c r="D6" s="12"/>
      <c r="E6" s="18">
        <v>17964834</v>
      </c>
      <c r="F6" s="18">
        <v>15961894</v>
      </c>
      <c r="G6" s="18">
        <f>+G5-102904121</f>
        <v>14373132.5</v>
      </c>
      <c r="I6" s="87" t="s">
        <v>39</v>
      </c>
      <c r="J6" s="18">
        <v>898000</v>
      </c>
      <c r="K6" s="18">
        <v>937000</v>
      </c>
      <c r="L6" s="18">
        <v>997000</v>
      </c>
      <c r="O6" s="15" t="s">
        <v>6</v>
      </c>
      <c r="S6" s="10">
        <f t="shared" si="0"/>
        <v>0</v>
      </c>
    </row>
    <row r="7" spans="1:19" x14ac:dyDescent="0.25">
      <c r="B7" s="21" t="s">
        <v>9</v>
      </c>
      <c r="C7" s="22"/>
      <c r="D7" s="23"/>
      <c r="E7" s="24">
        <v>16794647</v>
      </c>
      <c r="F7" s="24">
        <v>14281407</v>
      </c>
      <c r="G7" s="24">
        <f>G6-L6</f>
        <v>13376132.5</v>
      </c>
      <c r="I7" s="87" t="s">
        <v>40</v>
      </c>
      <c r="J7" s="18">
        <v>711000</v>
      </c>
      <c r="K7" s="18">
        <v>1160000</v>
      </c>
      <c r="L7" s="18">
        <f>+L78</f>
        <v>1162000</v>
      </c>
      <c r="O7" s="15" t="s">
        <v>8</v>
      </c>
      <c r="P7" s="20"/>
      <c r="S7" s="10">
        <f t="shared" si="0"/>
        <v>0</v>
      </c>
    </row>
    <row r="8" spans="1:19" x14ac:dyDescent="0.25">
      <c r="B8" s="26" t="s">
        <v>11</v>
      </c>
      <c r="C8" s="27"/>
      <c r="D8" s="28"/>
      <c r="E8" s="29">
        <v>1170187</v>
      </c>
      <c r="F8" s="29">
        <v>1680487</v>
      </c>
      <c r="G8" s="29">
        <f>G6-G7</f>
        <v>997000</v>
      </c>
      <c r="I8" s="88" t="s">
        <v>43</v>
      </c>
      <c r="J8" s="74">
        <f>E8</f>
        <v>1170187</v>
      </c>
      <c r="K8" s="74">
        <f>F8</f>
        <v>1680487</v>
      </c>
      <c r="L8" s="74"/>
      <c r="O8" s="15" t="s">
        <v>10</v>
      </c>
      <c r="P8" s="25"/>
      <c r="S8" s="10">
        <f t="shared" si="0"/>
        <v>0</v>
      </c>
    </row>
    <row r="9" spans="1:19" x14ac:dyDescent="0.25">
      <c r="B9" s="32" t="s">
        <v>37</v>
      </c>
      <c r="C9" s="33"/>
      <c r="D9" s="23"/>
      <c r="E9" s="34">
        <f>IF(ISERROR(IF(E8=0,"",(E8/$E$5))),"",(IF(E8=0,"",(E8/$E$5))))</f>
        <v>9.7857006428763282E-3</v>
      </c>
      <c r="F9" s="34">
        <f>IF(ISERROR(IF(F8=0,"",(F8/$F$5))),"",(IF(F8=0,"",(F8/$F$5))))</f>
        <v>1.432524684155486E-2</v>
      </c>
      <c r="G9" s="34">
        <f>IF(ISERROR(IF(G8=0,"",(G8/$G$5))),"",(IF(G8=0,"",(G8/$G$5))))</f>
        <v>8.5012222766625411E-3</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55000</v>
      </c>
    </row>
    <row r="16" spans="1:19" x14ac:dyDescent="0.25">
      <c r="O16" s="15" t="s">
        <v>19</v>
      </c>
      <c r="P16" s="36"/>
      <c r="Q16" s="36"/>
      <c r="S16" s="10">
        <f t="shared" si="0"/>
        <v>470000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637000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1162000</v>
      </c>
    </row>
    <row r="23" spans="1:19" s="41" customFormat="1" ht="15" customHeight="1" x14ac:dyDescent="0.25">
      <c r="A23" s="39"/>
      <c r="B23" s="571" t="s">
        <v>397</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3.8" x14ac:dyDescent="0.25">
      <c r="A28" s="39"/>
      <c r="B28" s="571"/>
      <c r="C28" s="571"/>
      <c r="D28" s="571"/>
      <c r="E28" s="571"/>
      <c r="F28" s="571"/>
      <c r="G28" s="571"/>
      <c r="H28" s="571"/>
      <c r="I28" s="571"/>
      <c r="J28" s="571"/>
      <c r="K28" s="571"/>
      <c r="L28" s="571"/>
      <c r="O28" s="15"/>
      <c r="P28" s="12"/>
      <c r="Q28" s="12"/>
      <c r="R28" s="12"/>
      <c r="S28" s="10"/>
    </row>
    <row r="29" spans="1:19" s="41" customFormat="1" ht="13.8" x14ac:dyDescent="0.25">
      <c r="A29" s="39"/>
      <c r="B29" s="571"/>
      <c r="C29" s="571"/>
      <c r="D29" s="571"/>
      <c r="E29" s="571"/>
      <c r="F29" s="571"/>
      <c r="G29" s="571"/>
      <c r="H29" s="571"/>
      <c r="I29" s="571"/>
      <c r="J29" s="571"/>
      <c r="K29" s="571"/>
      <c r="L29" s="571"/>
      <c r="O29" s="15"/>
      <c r="P29" s="12"/>
      <c r="Q29" s="12"/>
      <c r="R29" s="12"/>
      <c r="S29" s="10"/>
    </row>
    <row r="30" spans="1:19" s="41" customFormat="1" ht="13.8" x14ac:dyDescent="0.25">
      <c r="A30" s="39"/>
      <c r="B30" s="571"/>
      <c r="C30" s="571"/>
      <c r="D30" s="571"/>
      <c r="E30" s="571"/>
      <c r="F30" s="571"/>
      <c r="G30" s="571"/>
      <c r="H30" s="571"/>
      <c r="I30" s="571"/>
      <c r="J30" s="571"/>
      <c r="K30" s="571"/>
      <c r="L30" s="571"/>
      <c r="O30" s="15"/>
      <c r="P30" s="12"/>
      <c r="Q30" s="12"/>
      <c r="R30" s="12"/>
      <c r="S30" s="10"/>
    </row>
    <row r="31" spans="1:19" s="41" customFormat="1" ht="13.8"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39"/>
      <c r="B32" s="571"/>
      <c r="C32" s="571"/>
      <c r="D32" s="571"/>
      <c r="E32" s="571"/>
      <c r="F32" s="571"/>
      <c r="G32" s="571"/>
      <c r="H32" s="571"/>
      <c r="I32" s="571"/>
      <c r="J32" s="571"/>
      <c r="K32" s="571"/>
      <c r="L32" s="571"/>
      <c r="O32" s="15"/>
      <c r="P32" s="12"/>
      <c r="Q32" s="12"/>
      <c r="R32" s="12"/>
      <c r="S32" s="10"/>
    </row>
    <row r="33" spans="1:19" s="41" customFormat="1" ht="13.8" x14ac:dyDescent="0.25">
      <c r="A33" s="39"/>
      <c r="B33" s="571"/>
      <c r="C33" s="571"/>
      <c r="D33" s="571"/>
      <c r="E33" s="571"/>
      <c r="F33" s="571"/>
      <c r="G33" s="571"/>
      <c r="H33" s="571"/>
      <c r="I33" s="571"/>
      <c r="J33" s="571"/>
      <c r="K33" s="571"/>
      <c r="L33" s="571"/>
      <c r="O33" s="15"/>
      <c r="P33" s="12"/>
      <c r="Q33" s="12"/>
      <c r="R33" s="12"/>
      <c r="S33" s="10"/>
    </row>
    <row r="34" spans="1:19" s="41" customFormat="1" ht="13.8" x14ac:dyDescent="0.25">
      <c r="A34" s="39"/>
      <c r="B34" s="571"/>
      <c r="C34" s="571"/>
      <c r="D34" s="571"/>
      <c r="E34" s="571"/>
      <c r="F34" s="571"/>
      <c r="G34" s="571"/>
      <c r="H34" s="571"/>
      <c r="I34" s="571"/>
      <c r="J34" s="571"/>
      <c r="K34" s="571"/>
      <c r="L34" s="571"/>
      <c r="O34" s="15"/>
      <c r="P34" s="12"/>
      <c r="Q34" s="12"/>
      <c r="R34" s="12"/>
      <c r="S34" s="10"/>
    </row>
    <row r="35" spans="1:19" s="41" customFormat="1" ht="13.8" x14ac:dyDescent="0.25">
      <c r="A35" s="39"/>
      <c r="B35" s="571"/>
      <c r="C35" s="571"/>
      <c r="D35" s="571"/>
      <c r="E35" s="571"/>
      <c r="F35" s="571"/>
      <c r="G35" s="571"/>
      <c r="H35" s="571"/>
      <c r="I35" s="571"/>
      <c r="J35" s="571"/>
      <c r="K35" s="571"/>
      <c r="L35" s="571"/>
      <c r="O35" s="15"/>
      <c r="P35" s="12"/>
      <c r="Q35" s="12"/>
      <c r="R35" s="12"/>
      <c r="S35" s="10"/>
    </row>
    <row r="36" spans="1:19" s="41" customFormat="1" ht="13.8" x14ac:dyDescent="0.25">
      <c r="A36" s="39"/>
      <c r="B36" s="571"/>
      <c r="C36" s="571"/>
      <c r="D36" s="571"/>
      <c r="E36" s="571"/>
      <c r="F36" s="571"/>
      <c r="G36" s="571"/>
      <c r="H36" s="571"/>
      <c r="I36" s="571"/>
      <c r="J36" s="571"/>
      <c r="K36" s="571"/>
      <c r="L36" s="571"/>
      <c r="O36" s="15"/>
      <c r="P36" s="12"/>
      <c r="Q36" s="12"/>
      <c r="R36" s="12"/>
      <c r="S36" s="10"/>
    </row>
    <row r="37" spans="1:19" s="41" customFormat="1" ht="13.8" x14ac:dyDescent="0.25">
      <c r="A37" s="39"/>
      <c r="B37" s="571"/>
      <c r="C37" s="571"/>
      <c r="D37" s="571"/>
      <c r="E37" s="571"/>
      <c r="F37" s="571"/>
      <c r="G37" s="571"/>
      <c r="H37" s="571"/>
      <c r="I37" s="571"/>
      <c r="J37" s="571"/>
      <c r="K37" s="571"/>
      <c r="L37" s="571"/>
      <c r="O37" s="15"/>
      <c r="P37" s="12"/>
      <c r="Q37" s="12"/>
      <c r="R37" s="12"/>
      <c r="S37" s="10"/>
    </row>
    <row r="38" spans="1:19" s="41" customFormat="1" ht="13.8" x14ac:dyDescent="0.25">
      <c r="A38" s="39"/>
      <c r="B38" s="571"/>
      <c r="C38" s="571"/>
      <c r="D38" s="571"/>
      <c r="E38" s="571"/>
      <c r="F38" s="571"/>
      <c r="G38" s="571"/>
      <c r="H38" s="571"/>
      <c r="I38" s="571"/>
      <c r="J38" s="571"/>
      <c r="K38" s="571"/>
      <c r="L38" s="571"/>
      <c r="O38" s="15"/>
      <c r="P38" s="12"/>
      <c r="Q38" s="12"/>
      <c r="R38" s="12"/>
      <c r="S38" s="10"/>
    </row>
    <row r="39" spans="1:19" s="41" customFormat="1" ht="13.8" x14ac:dyDescent="0.25">
      <c r="A39" s="39"/>
      <c r="B39" s="571"/>
      <c r="C39" s="571"/>
      <c r="D39" s="571"/>
      <c r="E39" s="571"/>
      <c r="F39" s="571"/>
      <c r="G39" s="571"/>
      <c r="H39" s="571"/>
      <c r="I39" s="571"/>
      <c r="J39" s="571"/>
      <c r="K39" s="571"/>
      <c r="L39" s="571"/>
      <c r="O39" s="15"/>
      <c r="P39" s="12"/>
      <c r="Q39" s="12"/>
      <c r="R39" s="12"/>
      <c r="S39" s="10"/>
    </row>
    <row r="40" spans="1:19" s="41" customFormat="1" ht="13.8" x14ac:dyDescent="0.25">
      <c r="A40" s="39"/>
      <c r="B40" s="571"/>
      <c r="C40" s="571"/>
      <c r="D40" s="571"/>
      <c r="E40" s="571"/>
      <c r="F40" s="571"/>
      <c r="G40" s="571"/>
      <c r="H40" s="571"/>
      <c r="I40" s="571"/>
      <c r="J40" s="571"/>
      <c r="K40" s="571"/>
      <c r="L40" s="571"/>
      <c r="O40" s="15"/>
      <c r="P40" s="12"/>
      <c r="Q40" s="12"/>
      <c r="R40" s="12"/>
      <c r="S40" s="10"/>
    </row>
    <row r="41" spans="1:19" s="41" customFormat="1" ht="13.8" x14ac:dyDescent="0.25">
      <c r="A41" s="39"/>
      <c r="B41" s="571"/>
      <c r="C41" s="571"/>
      <c r="D41" s="571"/>
      <c r="E41" s="571"/>
      <c r="F41" s="571"/>
      <c r="G41" s="571"/>
      <c r="H41" s="571"/>
      <c r="I41" s="571"/>
      <c r="J41" s="571"/>
      <c r="K41" s="571"/>
      <c r="L41" s="571"/>
      <c r="O41" s="15"/>
      <c r="P41" s="12"/>
      <c r="Q41" s="12"/>
      <c r="R41" s="12"/>
      <c r="S41" s="10"/>
    </row>
    <row r="42" spans="1:19" s="41" customFormat="1" ht="13.8" x14ac:dyDescent="0.25">
      <c r="A42" s="39"/>
      <c r="B42" s="571"/>
      <c r="C42" s="571"/>
      <c r="D42" s="571"/>
      <c r="E42" s="571"/>
      <c r="F42" s="571"/>
      <c r="G42" s="571"/>
      <c r="H42" s="571"/>
      <c r="I42" s="571"/>
      <c r="J42" s="571"/>
      <c r="K42" s="571"/>
      <c r="L42" s="571"/>
      <c r="O42" s="15"/>
      <c r="P42" s="12"/>
      <c r="Q42" s="12"/>
      <c r="R42" s="12"/>
      <c r="S42" s="10"/>
    </row>
    <row r="43" spans="1:19" s="41" customFormat="1" ht="13.8" x14ac:dyDescent="0.25">
      <c r="A43" s="39"/>
      <c r="B43" s="571"/>
      <c r="C43" s="571"/>
      <c r="D43" s="571"/>
      <c r="E43" s="571"/>
      <c r="F43" s="571"/>
      <c r="G43" s="571"/>
      <c r="H43" s="571"/>
      <c r="I43" s="571"/>
      <c r="J43" s="571"/>
      <c r="K43" s="571"/>
      <c r="L43" s="571"/>
      <c r="O43" s="15"/>
      <c r="P43" s="12"/>
      <c r="Q43" s="12"/>
      <c r="R43" s="12"/>
      <c r="S43" s="10"/>
    </row>
    <row r="44" spans="1:19" s="41" customFormat="1" ht="12" customHeight="1" x14ac:dyDescent="0.25">
      <c r="A44" s="39"/>
      <c r="B44" s="571"/>
      <c r="C44" s="571"/>
      <c r="D44" s="571"/>
      <c r="E44" s="571"/>
      <c r="F44" s="571"/>
      <c r="G44" s="571"/>
      <c r="H44" s="571"/>
      <c r="I44" s="571"/>
      <c r="J44" s="571"/>
      <c r="K44" s="571"/>
      <c r="L44" s="571"/>
      <c r="O44" s="15"/>
      <c r="P44" s="12"/>
      <c r="Q44" s="12"/>
      <c r="R44" s="12"/>
      <c r="S44" s="10"/>
    </row>
    <row r="45" spans="1:19" s="41" customFormat="1" ht="12" customHeight="1" x14ac:dyDescent="0.25">
      <c r="A45" s="39"/>
      <c r="B45" s="571"/>
      <c r="C45" s="571"/>
      <c r="D45" s="571"/>
      <c r="E45" s="571"/>
      <c r="F45" s="571"/>
      <c r="G45" s="571"/>
      <c r="H45" s="571"/>
      <c r="I45" s="571"/>
      <c r="J45" s="571"/>
      <c r="K45" s="571"/>
      <c r="L45" s="571"/>
      <c r="O45" s="15"/>
      <c r="P45" s="12"/>
      <c r="Q45" s="12"/>
      <c r="R45" s="12"/>
      <c r="S45" s="10"/>
    </row>
    <row r="46" spans="1:19" s="41" customFormat="1" ht="12" customHeight="1" x14ac:dyDescent="0.25">
      <c r="A46" s="39"/>
      <c r="B46" s="571"/>
      <c r="C46" s="571"/>
      <c r="D46" s="571"/>
      <c r="E46" s="571"/>
      <c r="F46" s="571"/>
      <c r="G46" s="571"/>
      <c r="H46" s="571"/>
      <c r="I46" s="571"/>
      <c r="J46" s="571"/>
      <c r="K46" s="571"/>
      <c r="L46" s="571"/>
      <c r="O46" s="15"/>
      <c r="P46" s="12"/>
      <c r="Q46" s="12"/>
      <c r="R46" s="12"/>
      <c r="S46" s="10"/>
    </row>
    <row r="47" spans="1:19" s="41" customFormat="1" ht="12" customHeight="1" x14ac:dyDescent="0.25">
      <c r="A47" s="39"/>
      <c r="B47" s="571"/>
      <c r="C47" s="571"/>
      <c r="D47" s="571"/>
      <c r="E47" s="571"/>
      <c r="F47" s="571"/>
      <c r="G47" s="571"/>
      <c r="H47" s="571"/>
      <c r="I47" s="571"/>
      <c r="J47" s="571"/>
      <c r="K47" s="571"/>
      <c r="L47" s="571"/>
      <c r="O47" s="15"/>
      <c r="P47" s="12"/>
      <c r="Q47" s="12"/>
      <c r="R47" s="12"/>
      <c r="S47" s="10"/>
    </row>
    <row r="48" spans="1:19" s="41" customFormat="1" ht="12" customHeight="1" x14ac:dyDescent="0.25">
      <c r="A48" s="39"/>
      <c r="B48" s="571"/>
      <c r="C48" s="571"/>
      <c r="D48" s="571"/>
      <c r="E48" s="571"/>
      <c r="F48" s="571"/>
      <c r="G48" s="571"/>
      <c r="H48" s="571"/>
      <c r="I48" s="571"/>
      <c r="J48" s="571"/>
      <c r="K48" s="571"/>
      <c r="L48" s="571"/>
      <c r="O48" s="15"/>
      <c r="P48" s="12"/>
      <c r="Q48" s="12"/>
      <c r="R48" s="12"/>
      <c r="S48" s="10"/>
    </row>
    <row r="49" spans="1:19" s="41" customFormat="1" ht="12" customHeight="1" x14ac:dyDescent="0.25">
      <c r="A49" s="39"/>
      <c r="B49" s="571"/>
      <c r="C49" s="571"/>
      <c r="D49" s="571"/>
      <c r="E49" s="571"/>
      <c r="F49" s="571"/>
      <c r="G49" s="571"/>
      <c r="H49" s="571"/>
      <c r="I49" s="571"/>
      <c r="J49" s="571"/>
      <c r="K49" s="571"/>
      <c r="L49" s="571"/>
      <c r="O49" s="15"/>
      <c r="P49" s="12"/>
      <c r="Q49" s="12"/>
      <c r="R49" s="12"/>
      <c r="S49" s="10"/>
    </row>
    <row r="50" spans="1:19" s="41" customFormat="1" ht="12" customHeight="1" x14ac:dyDescent="0.25">
      <c r="A50" s="39"/>
      <c r="B50" s="571"/>
      <c r="C50" s="571"/>
      <c r="D50" s="571"/>
      <c r="E50" s="571"/>
      <c r="F50" s="571"/>
      <c r="G50" s="571"/>
      <c r="H50" s="571"/>
      <c r="I50" s="571"/>
      <c r="J50" s="571"/>
      <c r="K50" s="571"/>
      <c r="L50" s="571"/>
      <c r="O50" s="15"/>
      <c r="P50" s="12"/>
      <c r="Q50" s="12"/>
      <c r="R50" s="12"/>
      <c r="S50" s="10"/>
    </row>
    <row r="51" spans="1:19" s="41" customFormat="1" ht="12" customHeight="1" x14ac:dyDescent="0.25">
      <c r="A51" s="39"/>
      <c r="B51" s="571"/>
      <c r="C51" s="571"/>
      <c r="D51" s="571"/>
      <c r="E51" s="571"/>
      <c r="F51" s="571"/>
      <c r="G51" s="571"/>
      <c r="H51" s="571"/>
      <c r="I51" s="571"/>
      <c r="J51" s="571"/>
      <c r="K51" s="571"/>
      <c r="L51" s="571"/>
      <c r="O51" s="15"/>
      <c r="P51" s="12"/>
      <c r="Q51" s="12"/>
      <c r="R51" s="12"/>
      <c r="S51" s="10"/>
    </row>
    <row r="52" spans="1:19" s="41" customFormat="1" ht="12" customHeight="1" x14ac:dyDescent="0.25">
      <c r="A52" s="39"/>
      <c r="B52" s="571"/>
      <c r="C52" s="571"/>
      <c r="D52" s="571"/>
      <c r="E52" s="571"/>
      <c r="F52" s="571"/>
      <c r="G52" s="571"/>
      <c r="H52" s="571"/>
      <c r="I52" s="571"/>
      <c r="J52" s="571"/>
      <c r="K52" s="571"/>
      <c r="L52" s="571"/>
      <c r="O52" s="15"/>
      <c r="P52" s="12"/>
      <c r="Q52" s="12"/>
      <c r="R52" s="12"/>
      <c r="S52" s="10"/>
    </row>
    <row r="53" spans="1:19" s="41" customFormat="1" ht="12" customHeight="1" x14ac:dyDescent="0.25">
      <c r="A53" s="39"/>
      <c r="B53" s="571"/>
      <c r="C53" s="571"/>
      <c r="D53" s="571"/>
      <c r="E53" s="571"/>
      <c r="F53" s="571"/>
      <c r="G53" s="571"/>
      <c r="H53" s="571"/>
      <c r="I53" s="571"/>
      <c r="J53" s="571"/>
      <c r="K53" s="571"/>
      <c r="L53" s="571"/>
      <c r="O53" s="15"/>
      <c r="P53" s="12"/>
      <c r="Q53" s="12"/>
      <c r="R53" s="12"/>
      <c r="S53" s="10"/>
    </row>
    <row r="54" spans="1:19" s="41" customFormat="1" ht="12" customHeight="1" x14ac:dyDescent="0.25">
      <c r="A54" s="39"/>
      <c r="B54" s="571"/>
      <c r="C54" s="571"/>
      <c r="D54" s="571"/>
      <c r="E54" s="571"/>
      <c r="F54" s="571"/>
      <c r="G54" s="571"/>
      <c r="H54" s="571"/>
      <c r="I54" s="571"/>
      <c r="J54" s="571"/>
      <c r="K54" s="571"/>
      <c r="L54" s="571"/>
      <c r="O54" s="15"/>
      <c r="P54" s="12"/>
      <c r="Q54" s="12"/>
      <c r="R54" s="12"/>
      <c r="S54" s="10"/>
    </row>
    <row r="55" spans="1:19" s="41" customFormat="1" ht="12" customHeight="1" x14ac:dyDescent="0.25">
      <c r="A55" s="39"/>
      <c r="B55" s="571"/>
      <c r="C55" s="571"/>
      <c r="D55" s="571"/>
      <c r="E55" s="571"/>
      <c r="F55" s="571"/>
      <c r="G55" s="571"/>
      <c r="H55" s="571"/>
      <c r="I55" s="571"/>
      <c r="J55" s="571"/>
      <c r="K55" s="571"/>
      <c r="L55" s="571"/>
      <c r="O55" s="15"/>
      <c r="P55" s="12"/>
      <c r="Q55" s="12"/>
      <c r="R55" s="12"/>
      <c r="S55" s="10"/>
    </row>
    <row r="56" spans="1:19" s="41" customFormat="1" ht="12" customHeight="1" x14ac:dyDescent="0.25">
      <c r="A56" s="39"/>
      <c r="B56" s="571"/>
      <c r="C56" s="571"/>
      <c r="D56" s="571"/>
      <c r="E56" s="571"/>
      <c r="F56" s="571"/>
      <c r="G56" s="571"/>
      <c r="H56" s="571"/>
      <c r="I56" s="571"/>
      <c r="J56" s="571"/>
      <c r="K56" s="571"/>
      <c r="L56" s="571"/>
      <c r="O56" s="15"/>
      <c r="P56" s="12"/>
      <c r="Q56" s="12"/>
      <c r="R56" s="12"/>
      <c r="S56" s="10"/>
    </row>
    <row r="57" spans="1:19" s="41" customFormat="1" ht="12" customHeight="1" x14ac:dyDescent="0.25">
      <c r="A57" s="39"/>
      <c r="B57" s="571"/>
      <c r="C57" s="571"/>
      <c r="D57" s="571"/>
      <c r="E57" s="571"/>
      <c r="F57" s="571"/>
      <c r="G57" s="571"/>
      <c r="H57" s="571"/>
      <c r="I57" s="571"/>
      <c r="J57" s="571"/>
      <c r="K57" s="571"/>
      <c r="L57" s="571"/>
      <c r="O57" s="15"/>
      <c r="P57" s="12"/>
      <c r="Q57" s="12"/>
      <c r="R57" s="12"/>
      <c r="S57" s="10"/>
    </row>
    <row r="58" spans="1:19" s="41" customFormat="1" ht="9.75" customHeight="1" x14ac:dyDescent="0.25">
      <c r="A58" s="44"/>
      <c r="B58" s="44"/>
      <c r="C58" s="44"/>
      <c r="D58" s="44"/>
      <c r="E58" s="44"/>
      <c r="F58" s="44"/>
      <c r="G58" s="44"/>
      <c r="H58" s="45"/>
      <c r="I58" s="45"/>
      <c r="J58" s="46"/>
      <c r="K58" s="47"/>
      <c r="L58" s="47"/>
      <c r="M58" s="47"/>
      <c r="O58" s="15"/>
      <c r="P58" s="12"/>
      <c r="Q58" s="12"/>
      <c r="R58" s="12"/>
      <c r="S58" s="37"/>
    </row>
    <row r="59" spans="1:19" s="41" customFormat="1" ht="13.8" x14ac:dyDescent="0.25">
      <c r="A59" s="43"/>
      <c r="B59" s="48" t="s">
        <v>26</v>
      </c>
      <c r="C59" s="185"/>
      <c r="D59" s="42"/>
      <c r="E59" s="42"/>
      <c r="F59" s="42"/>
      <c r="G59" s="42"/>
      <c r="H59" s="53"/>
      <c r="I59" s="53" t="s">
        <v>27</v>
      </c>
      <c r="J59" s="42"/>
      <c r="L59" s="54" t="s">
        <v>28</v>
      </c>
      <c r="O59" s="15"/>
      <c r="P59" s="12"/>
      <c r="Q59" s="12"/>
      <c r="R59" s="12"/>
      <c r="S59" s="37"/>
    </row>
    <row r="60" spans="1:19" s="41" customFormat="1" ht="13.8" x14ac:dyDescent="0.25">
      <c r="A60" s="43"/>
      <c r="B60" s="381" t="s">
        <v>219</v>
      </c>
      <c r="C60" s="377"/>
      <c r="D60" s="298"/>
      <c r="E60" s="298"/>
      <c r="F60" s="298"/>
      <c r="G60" s="298"/>
      <c r="H60" s="261"/>
      <c r="I60" s="261"/>
      <c r="J60" s="261"/>
      <c r="K60" s="277"/>
      <c r="L60" s="272"/>
      <c r="O60" s="43"/>
      <c r="S60" s="40"/>
    </row>
    <row r="61" spans="1:19" s="41" customFormat="1" ht="13.8" x14ac:dyDescent="0.25">
      <c r="A61" s="43"/>
      <c r="B61" s="294" t="s">
        <v>29</v>
      </c>
      <c r="C61" s="291" t="s">
        <v>311</v>
      </c>
      <c r="D61" s="299"/>
      <c r="E61" s="299"/>
      <c r="F61" s="299"/>
      <c r="G61" s="299"/>
      <c r="H61" s="300"/>
      <c r="I61" s="300" t="s">
        <v>19</v>
      </c>
      <c r="J61" s="300"/>
      <c r="K61" s="300"/>
      <c r="L61" s="301">
        <v>470000</v>
      </c>
      <c r="O61" s="43"/>
      <c r="S61" s="40"/>
    </row>
    <row r="62" spans="1:19" s="41" customFormat="1" ht="13.8" x14ac:dyDescent="0.25">
      <c r="A62" s="43"/>
      <c r="B62" s="294" t="s">
        <v>30</v>
      </c>
      <c r="C62" s="291" t="s">
        <v>312</v>
      </c>
      <c r="D62" s="299"/>
      <c r="E62" s="299"/>
      <c r="F62" s="299"/>
      <c r="G62" s="299"/>
      <c r="H62" s="300"/>
      <c r="I62" s="300" t="s">
        <v>23</v>
      </c>
      <c r="J62" s="300"/>
      <c r="K62" s="300"/>
      <c r="L62" s="302">
        <v>250000</v>
      </c>
      <c r="O62" s="43"/>
      <c r="S62" s="40"/>
    </row>
    <row r="63" spans="1:19" s="41" customFormat="1" ht="13.8" x14ac:dyDescent="0.25">
      <c r="A63" s="43"/>
      <c r="B63" s="294" t="s">
        <v>31</v>
      </c>
      <c r="C63" s="291" t="s">
        <v>313</v>
      </c>
      <c r="D63" s="299"/>
      <c r="E63" s="299"/>
      <c r="F63" s="299"/>
      <c r="G63" s="299"/>
      <c r="H63" s="300"/>
      <c r="I63" s="300" t="s">
        <v>18</v>
      </c>
      <c r="J63" s="300"/>
      <c r="K63" s="300"/>
      <c r="L63" s="302">
        <v>55000</v>
      </c>
      <c r="O63" s="43"/>
      <c r="S63" s="40"/>
    </row>
    <row r="64" spans="1:19" s="41" customFormat="1" ht="13.8" hidden="1" x14ac:dyDescent="0.25">
      <c r="A64" s="43"/>
      <c r="B64" s="294" t="s">
        <v>32</v>
      </c>
      <c r="C64" s="291"/>
      <c r="D64" s="299"/>
      <c r="E64" s="299"/>
      <c r="F64" s="299"/>
      <c r="G64" s="299"/>
      <c r="H64" s="300"/>
      <c r="I64" s="300"/>
      <c r="J64" s="300"/>
      <c r="K64" s="300"/>
      <c r="L64" s="302"/>
      <c r="O64" s="43"/>
      <c r="S64" s="40"/>
    </row>
    <row r="65" spans="1:23" s="41" customFormat="1" ht="13.8" hidden="1" x14ac:dyDescent="0.25">
      <c r="A65" s="43"/>
      <c r="B65" s="294" t="s">
        <v>33</v>
      </c>
      <c r="C65" s="291"/>
      <c r="D65" s="299"/>
      <c r="E65" s="299"/>
      <c r="F65" s="299"/>
      <c r="G65" s="299"/>
      <c r="H65" s="300"/>
      <c r="I65" s="300"/>
      <c r="J65" s="300"/>
      <c r="K65" s="300"/>
      <c r="L65" s="302"/>
      <c r="O65" s="43"/>
      <c r="S65" s="40"/>
    </row>
    <row r="66" spans="1:23" s="41" customFormat="1" ht="13.8" hidden="1" x14ac:dyDescent="0.25">
      <c r="A66" s="43"/>
      <c r="B66" s="294" t="s">
        <v>181</v>
      </c>
      <c r="C66" s="291"/>
      <c r="D66" s="299"/>
      <c r="E66" s="299"/>
      <c r="F66" s="299"/>
      <c r="G66" s="299"/>
      <c r="H66" s="300"/>
      <c r="I66" s="300"/>
      <c r="J66" s="300"/>
      <c r="K66" s="300"/>
      <c r="L66" s="302"/>
      <c r="O66" s="43"/>
      <c r="S66" s="40"/>
    </row>
    <row r="67" spans="1:23" s="41" customFormat="1" ht="13.8" x14ac:dyDescent="0.25">
      <c r="A67" s="43"/>
      <c r="B67" s="294"/>
      <c r="C67" s="384" t="s">
        <v>250</v>
      </c>
      <c r="D67" s="299"/>
      <c r="E67" s="299"/>
      <c r="F67" s="299"/>
      <c r="G67" s="299"/>
      <c r="H67" s="300"/>
      <c r="I67" s="300"/>
      <c r="J67" s="300"/>
      <c r="K67" s="300"/>
      <c r="L67" s="475">
        <f>SUM(L61:L66)</f>
        <v>775000</v>
      </c>
      <c r="O67" s="43"/>
      <c r="S67" s="40"/>
    </row>
    <row r="68" spans="1:23" s="41" customFormat="1" ht="13.8" x14ac:dyDescent="0.25">
      <c r="A68" s="43"/>
      <c r="B68" s="294"/>
      <c r="C68" s="264"/>
      <c r="D68" s="298"/>
      <c r="E68" s="298"/>
      <c r="F68" s="298"/>
      <c r="G68" s="298"/>
      <c r="H68" s="261"/>
      <c r="I68" s="261"/>
      <c r="J68" s="261"/>
      <c r="K68" s="277"/>
      <c r="L68" s="272"/>
      <c r="O68" s="43"/>
      <c r="S68" s="40"/>
    </row>
    <row r="69" spans="1:23" s="41" customFormat="1" ht="13.8" x14ac:dyDescent="0.25">
      <c r="A69" s="43"/>
      <c r="B69" s="381" t="s">
        <v>251</v>
      </c>
      <c r="C69" s="377"/>
      <c r="D69" s="298"/>
      <c r="E69" s="298"/>
      <c r="F69" s="298"/>
      <c r="G69" s="298"/>
      <c r="H69" s="261"/>
      <c r="I69" s="261"/>
      <c r="J69" s="261"/>
      <c r="K69" s="277"/>
      <c r="L69" s="272"/>
      <c r="O69" s="43"/>
      <c r="S69" s="40"/>
    </row>
    <row r="70" spans="1:23" s="41" customFormat="1" ht="13.8" x14ac:dyDescent="0.25">
      <c r="A70" s="43"/>
      <c r="B70" s="294" t="s">
        <v>32</v>
      </c>
      <c r="C70" s="291" t="s">
        <v>314</v>
      </c>
      <c r="D70" s="291"/>
      <c r="E70" s="291"/>
      <c r="F70" s="291"/>
      <c r="G70" s="291"/>
      <c r="H70" s="300"/>
      <c r="I70" s="300" t="s">
        <v>23</v>
      </c>
      <c r="J70" s="300"/>
      <c r="K70" s="301"/>
      <c r="L70" s="468">
        <v>380000</v>
      </c>
      <c r="O70" s="43"/>
      <c r="S70" s="40"/>
    </row>
    <row r="71" spans="1:23" s="41" customFormat="1" ht="13.8" x14ac:dyDescent="0.25">
      <c r="A71" s="43"/>
      <c r="B71" s="294" t="s">
        <v>33</v>
      </c>
      <c r="C71" s="291" t="s">
        <v>315</v>
      </c>
      <c r="D71" s="291"/>
      <c r="E71" s="291"/>
      <c r="F71" s="291"/>
      <c r="G71" s="291"/>
      <c r="H71" s="300"/>
      <c r="I71" s="300" t="s">
        <v>23</v>
      </c>
      <c r="J71" s="300"/>
      <c r="K71" s="301"/>
      <c r="L71" s="302">
        <v>10000</v>
      </c>
      <c r="O71" s="43"/>
      <c r="S71" s="40"/>
    </row>
    <row r="72" spans="1:23" s="41" customFormat="1" ht="13.8" hidden="1" x14ac:dyDescent="0.25">
      <c r="A72" s="43"/>
      <c r="B72" s="294" t="s">
        <v>225</v>
      </c>
      <c r="C72" s="291"/>
      <c r="D72" s="291"/>
      <c r="E72" s="291"/>
      <c r="F72" s="291"/>
      <c r="G72" s="291"/>
      <c r="H72" s="300"/>
      <c r="I72" s="300"/>
      <c r="J72" s="300"/>
      <c r="K72" s="301"/>
      <c r="L72" s="468"/>
      <c r="O72" s="43"/>
      <c r="S72" s="40"/>
    </row>
    <row r="73" spans="1:23" s="41" customFormat="1" ht="13.8" hidden="1" x14ac:dyDescent="0.25">
      <c r="A73" s="43"/>
      <c r="B73" s="294" t="s">
        <v>248</v>
      </c>
      <c r="C73" s="291"/>
      <c r="D73" s="291"/>
      <c r="E73" s="291"/>
      <c r="F73" s="291"/>
      <c r="G73" s="291"/>
      <c r="H73" s="300"/>
      <c r="I73" s="300"/>
      <c r="J73" s="300"/>
      <c r="K73" s="302"/>
      <c r="L73" s="303"/>
      <c r="O73" s="43"/>
      <c r="S73" s="40"/>
    </row>
    <row r="74" spans="1:23" s="41" customFormat="1" ht="13.8" x14ac:dyDescent="0.25">
      <c r="A74" s="43"/>
      <c r="B74" s="294"/>
      <c r="C74" s="384" t="s">
        <v>252</v>
      </c>
      <c r="D74" s="299"/>
      <c r="E74" s="299"/>
      <c r="F74" s="299"/>
      <c r="G74" s="299"/>
      <c r="H74" s="300"/>
      <c r="I74" s="300"/>
      <c r="J74" s="300"/>
      <c r="K74" s="300"/>
      <c r="L74" s="475">
        <f>SUM(L69:L73)</f>
        <v>390000</v>
      </c>
      <c r="O74" s="43"/>
      <c r="S74" s="40"/>
    </row>
    <row r="75" spans="1:23" s="41" customFormat="1" ht="13.8" x14ac:dyDescent="0.25">
      <c r="A75" s="43"/>
      <c r="B75" s="294"/>
      <c r="C75" s="264"/>
      <c r="D75" s="288"/>
      <c r="E75" s="288"/>
      <c r="F75" s="288"/>
      <c r="G75" s="288"/>
      <c r="H75" s="261"/>
      <c r="I75" s="261"/>
      <c r="J75" s="261"/>
      <c r="K75" s="277"/>
      <c r="L75" s="272"/>
      <c r="O75" s="43"/>
      <c r="S75" s="40"/>
    </row>
    <row r="76" spans="1:23" s="41" customFormat="1" ht="13.8" x14ac:dyDescent="0.25">
      <c r="A76" s="43"/>
      <c r="B76" s="294" t="s">
        <v>181</v>
      </c>
      <c r="C76" s="377" t="s">
        <v>218</v>
      </c>
      <c r="D76" s="298"/>
      <c r="E76" s="298"/>
      <c r="F76" s="298"/>
      <c r="G76" s="298"/>
      <c r="H76" s="261"/>
      <c r="I76" s="261" t="s">
        <v>23</v>
      </c>
      <c r="J76" s="261"/>
      <c r="K76" s="277"/>
      <c r="L76" s="272">
        <v>-3000</v>
      </c>
      <c r="O76" s="43"/>
      <c r="S76" s="40"/>
    </row>
    <row r="77" spans="1:23" s="41" customFormat="1" ht="13.8" x14ac:dyDescent="0.25">
      <c r="A77" s="43"/>
      <c r="B77" s="294"/>
      <c r="C77" s="264"/>
      <c r="D77" s="264"/>
      <c r="E77" s="264"/>
      <c r="F77" s="264"/>
      <c r="G77" s="264"/>
      <c r="H77" s="264"/>
      <c r="I77" s="264"/>
      <c r="J77" s="264"/>
      <c r="K77" s="264"/>
      <c r="L77" s="264"/>
      <c r="O77" s="43"/>
      <c r="S77" s="40"/>
    </row>
    <row r="78" spans="1:23" s="41" customFormat="1" ht="14.4" thickBot="1" x14ac:dyDescent="0.3">
      <c r="A78" s="60"/>
      <c r="B78" s="61" t="s">
        <v>184</v>
      </c>
      <c r="C78" s="290"/>
      <c r="D78" s="290"/>
      <c r="E78" s="291"/>
      <c r="F78" s="291"/>
      <c r="G78" s="292"/>
      <c r="H78" s="277"/>
      <c r="I78" s="292"/>
      <c r="J78" s="288"/>
      <c r="K78" s="290"/>
      <c r="L78" s="293">
        <f>+L76+L67+L74</f>
        <v>1162000</v>
      </c>
      <c r="M78" s="176"/>
      <c r="O78" s="43"/>
      <c r="W78" s="40"/>
    </row>
    <row r="79" spans="1:23" s="41" customFormat="1" ht="8.25" customHeight="1" thickTop="1" x14ac:dyDescent="0.25">
      <c r="A79" s="65"/>
      <c r="B79" s="200"/>
      <c r="C79" s="200"/>
      <c r="D79" s="200"/>
      <c r="E79" s="200"/>
      <c r="F79" s="200"/>
      <c r="G79" s="200"/>
      <c r="H79" s="200"/>
      <c r="I79" s="200"/>
      <c r="J79" s="67"/>
      <c r="K79" s="67"/>
      <c r="L79" s="47"/>
      <c r="M79" s="47"/>
      <c r="O79" s="43"/>
      <c r="W79" s="40"/>
    </row>
    <row r="80" spans="1:23" s="41" customFormat="1" ht="13.8" x14ac:dyDescent="0.25">
      <c r="A80" s="43"/>
      <c r="B80" s="6" t="s">
        <v>34</v>
      </c>
      <c r="C80" s="70"/>
      <c r="D80" s="70"/>
      <c r="E80" s="70"/>
      <c r="F80" s="70"/>
      <c r="G80" s="70"/>
      <c r="H80" s="70"/>
      <c r="I80" s="70"/>
      <c r="J80" s="89"/>
      <c r="K80" s="89"/>
      <c r="O80" s="43"/>
      <c r="W80" s="40"/>
    </row>
    <row r="81" spans="1:23" s="41" customFormat="1" ht="13.8" x14ac:dyDescent="0.25">
      <c r="A81" s="43"/>
      <c r="B81" s="594"/>
      <c r="C81" s="594"/>
      <c r="D81" s="594"/>
      <c r="E81" s="594"/>
      <c r="F81" s="594"/>
      <c r="G81" s="594"/>
      <c r="H81" s="594"/>
      <c r="I81" s="594"/>
      <c r="J81" s="594"/>
      <c r="K81" s="594"/>
      <c r="L81" s="594"/>
      <c r="O81" s="43"/>
      <c r="W81" s="40"/>
    </row>
    <row r="82" spans="1:23" s="41" customFormat="1" ht="13.8" x14ac:dyDescent="0.25">
      <c r="A82" s="43"/>
      <c r="B82" s="594"/>
      <c r="C82" s="594"/>
      <c r="D82" s="594"/>
      <c r="E82" s="594"/>
      <c r="F82" s="594"/>
      <c r="G82" s="594"/>
      <c r="H82" s="594"/>
      <c r="I82" s="594"/>
      <c r="J82" s="594"/>
      <c r="K82" s="594"/>
      <c r="L82" s="594"/>
      <c r="O82" s="43"/>
      <c r="W82" s="40"/>
    </row>
    <row r="83" spans="1:23" s="41" customFormat="1" ht="13.8" x14ac:dyDescent="0.25">
      <c r="A83" s="43"/>
      <c r="B83" s="594"/>
      <c r="C83" s="594"/>
      <c r="D83" s="594"/>
      <c r="E83" s="594"/>
      <c r="F83" s="594"/>
      <c r="G83" s="594"/>
      <c r="H83" s="594"/>
      <c r="I83" s="594"/>
      <c r="J83" s="594"/>
      <c r="K83" s="594"/>
      <c r="L83" s="594"/>
      <c r="O83" s="43"/>
      <c r="W83" s="40"/>
    </row>
    <row r="84" spans="1:23" s="41" customFormat="1" ht="13.8" x14ac:dyDescent="0.25">
      <c r="A84" s="43"/>
      <c r="B84" s="594"/>
      <c r="C84" s="594"/>
      <c r="D84" s="594"/>
      <c r="E84" s="594"/>
      <c r="F84" s="594"/>
      <c r="G84" s="594"/>
      <c r="H84" s="594"/>
      <c r="I84" s="594"/>
      <c r="J84" s="594"/>
      <c r="K84" s="594"/>
      <c r="L84" s="594"/>
      <c r="O84" s="43"/>
      <c r="W84" s="40"/>
    </row>
    <row r="85" spans="1:23" s="41" customFormat="1" ht="14.4" thickBot="1" x14ac:dyDescent="0.3">
      <c r="A85" s="77"/>
      <c r="B85" s="78"/>
      <c r="C85" s="78"/>
      <c r="D85" s="78"/>
      <c r="E85" s="78"/>
      <c r="F85" s="78"/>
      <c r="G85" s="78"/>
      <c r="H85" s="78"/>
      <c r="I85" s="78"/>
      <c r="J85" s="79"/>
      <c r="K85" s="79"/>
      <c r="L85" s="80"/>
      <c r="M85" s="80"/>
      <c r="O85" s="43"/>
      <c r="W85" s="40"/>
    </row>
  </sheetData>
  <mergeCells count="2">
    <mergeCell ref="B23:L57"/>
    <mergeCell ref="B81:L84"/>
  </mergeCells>
  <dataValidations count="1">
    <dataValidation type="list" allowBlank="1" showInputMessage="1" showErrorMessage="1" sqref="I60:J77">
      <formula1>$O$3:$O$21</formula1>
    </dataValidation>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W62"/>
  <sheetViews>
    <sheetView showGridLines="0" view="pageBreakPreview"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1" width="12.109375" style="83" customWidth="1"/>
    <col min="12" max="12" width="12.55468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171</v>
      </c>
      <c r="B1" s="2"/>
      <c r="C1" s="2"/>
      <c r="D1" s="2"/>
      <c r="E1" s="2"/>
      <c r="F1" s="2"/>
      <c r="G1" s="2"/>
      <c r="H1" s="2"/>
      <c r="I1" s="2"/>
      <c r="J1" s="2"/>
      <c r="K1" s="2"/>
      <c r="L1" s="2"/>
      <c r="M1" s="2"/>
      <c r="O1" s="4"/>
      <c r="P1" s="4"/>
      <c r="Q1" s="4"/>
      <c r="R1" s="4"/>
      <c r="S1" s="5"/>
      <c r="T1" s="210" t="s">
        <v>210</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359000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90747778</v>
      </c>
      <c r="F5" s="18">
        <v>89197605</v>
      </c>
      <c r="G5" s="18">
        <f>67797251.74+19591196</f>
        <v>87388447.739999995</v>
      </c>
      <c r="I5" s="86" t="s">
        <v>38</v>
      </c>
      <c r="J5" s="73"/>
      <c r="K5" s="73"/>
      <c r="L5" s="73">
        <v>0</v>
      </c>
      <c r="O5" s="15" t="s">
        <v>4</v>
      </c>
      <c r="S5" s="10">
        <f t="shared" si="0"/>
        <v>0</v>
      </c>
    </row>
    <row r="6" spans="1:20" x14ac:dyDescent="0.25">
      <c r="B6" s="16" t="s">
        <v>7</v>
      </c>
      <c r="C6" s="17"/>
      <c r="D6" s="12"/>
      <c r="E6" s="18">
        <v>21201530</v>
      </c>
      <c r="F6" s="18">
        <v>21150846</v>
      </c>
      <c r="G6" s="18">
        <f>+G5-56156593-10047097</f>
        <v>21184757.739999995</v>
      </c>
      <c r="I6" s="87" t="s">
        <v>39</v>
      </c>
      <c r="J6" s="18">
        <v>0</v>
      </c>
      <c r="K6" s="18">
        <v>247000</v>
      </c>
      <c r="L6" s="18">
        <v>191000</v>
      </c>
      <c r="O6" s="15" t="s">
        <v>6</v>
      </c>
      <c r="S6" s="10">
        <f t="shared" si="0"/>
        <v>0</v>
      </c>
    </row>
    <row r="7" spans="1:20" x14ac:dyDescent="0.25">
      <c r="B7" s="21" t="s">
        <v>9</v>
      </c>
      <c r="C7" s="22"/>
      <c r="D7" s="23"/>
      <c r="E7" s="24">
        <v>20733981</v>
      </c>
      <c r="F7" s="24">
        <v>19909307</v>
      </c>
      <c r="G7" s="24">
        <f>G6-L6</f>
        <v>20993757.739999995</v>
      </c>
      <c r="I7" s="87" t="s">
        <v>40</v>
      </c>
      <c r="J7" s="18">
        <v>251000</v>
      </c>
      <c r="K7" s="18">
        <v>1013000</v>
      </c>
      <c r="L7" s="18">
        <f>+L58</f>
        <v>359000</v>
      </c>
      <c r="O7" s="15" t="s">
        <v>8</v>
      </c>
      <c r="P7" s="20"/>
      <c r="S7" s="10">
        <f t="shared" si="0"/>
        <v>0</v>
      </c>
    </row>
    <row r="8" spans="1:20" x14ac:dyDescent="0.25">
      <c r="B8" s="26" t="s">
        <v>11</v>
      </c>
      <c r="C8" s="27"/>
      <c r="D8" s="28"/>
      <c r="E8" s="29">
        <v>467549</v>
      </c>
      <c r="F8" s="29">
        <v>1241539</v>
      </c>
      <c r="G8" s="29">
        <f>G6-G7</f>
        <v>191000</v>
      </c>
      <c r="I8" s="88" t="s">
        <v>43</v>
      </c>
      <c r="J8" s="74">
        <f>E8</f>
        <v>467549</v>
      </c>
      <c r="K8" s="74">
        <f>F8</f>
        <v>1241539</v>
      </c>
      <c r="L8" s="74"/>
      <c r="O8" s="15" t="s">
        <v>10</v>
      </c>
      <c r="P8" s="25"/>
      <c r="S8" s="10">
        <f t="shared" si="0"/>
        <v>0</v>
      </c>
    </row>
    <row r="9" spans="1:20" x14ac:dyDescent="0.25">
      <c r="B9" s="32" t="s">
        <v>37</v>
      </c>
      <c r="C9" s="33"/>
      <c r="D9" s="23"/>
      <c r="E9" s="34">
        <f>IF(ISERROR(IF(E8=0,"",(E8/$E$5))),"",(IF(E8=0,"",(E8/$E$5))))</f>
        <v>5.152181246795927E-3</v>
      </c>
      <c r="F9" s="34">
        <f>IF(ISERROR(IF(F8=0,"",(F8/$F$5))),"",(IF(F8=0,"",(F8/$F$5))))</f>
        <v>1.391897237599597E-2</v>
      </c>
      <c r="G9" s="34">
        <f>IF(ISERROR(IF(G8=0,"",(G8/$G$5))),"",(IF(G8=0,"",(G8/$G$5))))</f>
        <v>2.1856435826422657E-3</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9.7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359000</v>
      </c>
    </row>
    <row r="23" spans="1:19" s="41" customFormat="1" ht="15" customHeight="1" x14ac:dyDescent="0.25">
      <c r="A23" s="39"/>
      <c r="B23" s="595" t="s">
        <v>406</v>
      </c>
      <c r="C23" s="595"/>
      <c r="D23" s="595"/>
      <c r="E23" s="595"/>
      <c r="F23" s="595"/>
      <c r="G23" s="595"/>
      <c r="H23" s="595"/>
      <c r="I23" s="595"/>
      <c r="J23" s="595"/>
      <c r="K23" s="595"/>
      <c r="L23" s="595"/>
      <c r="O23" s="15"/>
      <c r="P23" s="12"/>
      <c r="Q23" s="12"/>
      <c r="R23" s="12"/>
      <c r="S23" s="10"/>
    </row>
    <row r="24" spans="1:19" s="41" customFormat="1" ht="15" customHeight="1" x14ac:dyDescent="0.25">
      <c r="A24" s="39"/>
      <c r="B24" s="595"/>
      <c r="C24" s="595"/>
      <c r="D24" s="595"/>
      <c r="E24" s="595"/>
      <c r="F24" s="595"/>
      <c r="G24" s="595"/>
      <c r="H24" s="595"/>
      <c r="I24" s="595"/>
      <c r="J24" s="595"/>
      <c r="K24" s="595"/>
      <c r="L24" s="595"/>
      <c r="O24" s="15"/>
      <c r="P24" s="12"/>
      <c r="Q24" s="12"/>
      <c r="R24" s="12"/>
      <c r="S24" s="10"/>
    </row>
    <row r="25" spans="1:19" s="41" customFormat="1" ht="15" customHeight="1" x14ac:dyDescent="0.25">
      <c r="A25" s="39"/>
      <c r="B25" s="595"/>
      <c r="C25" s="595"/>
      <c r="D25" s="595"/>
      <c r="E25" s="595"/>
      <c r="F25" s="595"/>
      <c r="G25" s="595"/>
      <c r="H25" s="595"/>
      <c r="I25" s="595"/>
      <c r="J25" s="595"/>
      <c r="K25" s="595"/>
      <c r="L25" s="595"/>
      <c r="O25" s="15"/>
      <c r="P25" s="12"/>
      <c r="Q25" s="12"/>
      <c r="R25" s="12"/>
      <c r="S25" s="10"/>
    </row>
    <row r="26" spans="1:19" s="41" customFormat="1" ht="15" customHeight="1" x14ac:dyDescent="0.25">
      <c r="A26" s="39"/>
      <c r="B26" s="595"/>
      <c r="C26" s="595"/>
      <c r="D26" s="595"/>
      <c r="E26" s="595"/>
      <c r="F26" s="595"/>
      <c r="G26" s="595"/>
      <c r="H26" s="595"/>
      <c r="I26" s="595"/>
      <c r="J26" s="595"/>
      <c r="K26" s="595"/>
      <c r="L26" s="595"/>
      <c r="O26" s="15"/>
      <c r="P26" s="12"/>
      <c r="Q26" s="12"/>
      <c r="R26" s="12"/>
      <c r="S26" s="10"/>
    </row>
    <row r="27" spans="1:19" s="41" customFormat="1" ht="15" customHeight="1" x14ac:dyDescent="0.25">
      <c r="A27" s="39"/>
      <c r="B27" s="595"/>
      <c r="C27" s="595"/>
      <c r="D27" s="595"/>
      <c r="E27" s="595"/>
      <c r="F27" s="595"/>
      <c r="G27" s="595"/>
      <c r="H27" s="595"/>
      <c r="I27" s="595"/>
      <c r="J27" s="595"/>
      <c r="K27" s="595"/>
      <c r="L27" s="595"/>
      <c r="O27" s="15"/>
      <c r="P27" s="12"/>
      <c r="Q27" s="12"/>
      <c r="R27" s="12"/>
      <c r="S27" s="10"/>
    </row>
    <row r="28" spans="1:19" s="41" customFormat="1" ht="15" customHeight="1" x14ac:dyDescent="0.25">
      <c r="A28" s="39"/>
      <c r="B28" s="595"/>
      <c r="C28" s="595"/>
      <c r="D28" s="595"/>
      <c r="E28" s="595"/>
      <c r="F28" s="595"/>
      <c r="G28" s="595"/>
      <c r="H28" s="595"/>
      <c r="I28" s="595"/>
      <c r="J28" s="595"/>
      <c r="K28" s="595"/>
      <c r="L28" s="595"/>
      <c r="O28" s="15"/>
      <c r="P28" s="12"/>
      <c r="Q28" s="12"/>
      <c r="R28" s="12"/>
      <c r="S28" s="10"/>
    </row>
    <row r="29" spans="1:19" s="41" customFormat="1" ht="15" customHeight="1" x14ac:dyDescent="0.25">
      <c r="A29" s="39"/>
      <c r="B29" s="595"/>
      <c r="C29" s="595"/>
      <c r="D29" s="595"/>
      <c r="E29" s="595"/>
      <c r="F29" s="595"/>
      <c r="G29" s="595"/>
      <c r="H29" s="595"/>
      <c r="I29" s="595"/>
      <c r="J29" s="595"/>
      <c r="K29" s="595"/>
      <c r="L29" s="595"/>
      <c r="O29" s="15"/>
      <c r="P29" s="12"/>
      <c r="Q29" s="12"/>
      <c r="R29" s="12"/>
      <c r="S29" s="10"/>
    </row>
    <row r="30" spans="1:19" s="41" customFormat="1" ht="15" customHeight="1" x14ac:dyDescent="0.25">
      <c r="A30" s="39"/>
      <c r="B30" s="595"/>
      <c r="C30" s="595"/>
      <c r="D30" s="595"/>
      <c r="E30" s="595"/>
      <c r="F30" s="595"/>
      <c r="G30" s="595"/>
      <c r="H30" s="595"/>
      <c r="I30" s="595"/>
      <c r="J30" s="595"/>
      <c r="K30" s="595"/>
      <c r="L30" s="595"/>
      <c r="O30" s="15"/>
      <c r="P30" s="12"/>
      <c r="Q30" s="12"/>
      <c r="R30" s="12"/>
      <c r="S30" s="10"/>
    </row>
    <row r="31" spans="1:19" s="41" customFormat="1" ht="15" customHeight="1" x14ac:dyDescent="0.25">
      <c r="A31" s="39"/>
      <c r="B31" s="595"/>
      <c r="C31" s="595"/>
      <c r="D31" s="595"/>
      <c r="E31" s="595"/>
      <c r="F31" s="595"/>
      <c r="G31" s="595"/>
      <c r="H31" s="595"/>
      <c r="I31" s="595"/>
      <c r="J31" s="595"/>
      <c r="K31" s="595"/>
      <c r="L31" s="595"/>
      <c r="O31" s="15"/>
      <c r="P31" s="12"/>
      <c r="Q31" s="12"/>
      <c r="R31" s="12"/>
      <c r="S31" s="10"/>
    </row>
    <row r="32" spans="1:19" s="41" customFormat="1" ht="15" customHeight="1" x14ac:dyDescent="0.25">
      <c r="A32" s="39"/>
      <c r="B32" s="595"/>
      <c r="C32" s="595"/>
      <c r="D32" s="595"/>
      <c r="E32" s="595"/>
      <c r="F32" s="595"/>
      <c r="G32" s="595"/>
      <c r="H32" s="595"/>
      <c r="I32" s="595"/>
      <c r="J32" s="595"/>
      <c r="K32" s="595"/>
      <c r="L32" s="595"/>
      <c r="O32" s="15"/>
      <c r="P32" s="12"/>
      <c r="Q32" s="12"/>
      <c r="R32" s="12"/>
      <c r="S32" s="10"/>
    </row>
    <row r="33" spans="1:19" s="41" customFormat="1" ht="15" customHeight="1" x14ac:dyDescent="0.25">
      <c r="A33" s="39"/>
      <c r="B33" s="595"/>
      <c r="C33" s="595"/>
      <c r="D33" s="595"/>
      <c r="E33" s="595"/>
      <c r="F33" s="595"/>
      <c r="G33" s="595"/>
      <c r="H33" s="595"/>
      <c r="I33" s="595"/>
      <c r="J33" s="595"/>
      <c r="K33" s="595"/>
      <c r="L33" s="595"/>
      <c r="O33" s="15"/>
      <c r="P33" s="12"/>
      <c r="Q33" s="12"/>
      <c r="R33" s="12"/>
      <c r="S33" s="10"/>
    </row>
    <row r="34" spans="1:19" s="41" customFormat="1" ht="15" customHeight="1" x14ac:dyDescent="0.25">
      <c r="A34" s="39"/>
      <c r="B34" s="595"/>
      <c r="C34" s="595"/>
      <c r="D34" s="595"/>
      <c r="E34" s="595"/>
      <c r="F34" s="595"/>
      <c r="G34" s="595"/>
      <c r="H34" s="595"/>
      <c r="I34" s="595"/>
      <c r="J34" s="595"/>
      <c r="K34" s="595"/>
      <c r="L34" s="595"/>
      <c r="O34" s="15"/>
      <c r="P34" s="12"/>
      <c r="Q34" s="12"/>
      <c r="R34" s="12"/>
      <c r="S34" s="10"/>
    </row>
    <row r="35" spans="1:19" s="41" customFormat="1" ht="15" customHeight="1" x14ac:dyDescent="0.25">
      <c r="A35" s="39"/>
      <c r="B35" s="595"/>
      <c r="C35" s="595"/>
      <c r="D35" s="595"/>
      <c r="E35" s="595"/>
      <c r="F35" s="595"/>
      <c r="G35" s="595"/>
      <c r="H35" s="595"/>
      <c r="I35" s="595"/>
      <c r="J35" s="595"/>
      <c r="K35" s="595"/>
      <c r="L35" s="595"/>
      <c r="O35" s="15"/>
      <c r="P35" s="12"/>
      <c r="Q35" s="12"/>
      <c r="R35" s="12"/>
      <c r="S35" s="10"/>
    </row>
    <row r="36" spans="1:19" s="41" customFormat="1" ht="15" customHeight="1" x14ac:dyDescent="0.25">
      <c r="A36" s="39"/>
      <c r="B36" s="595"/>
      <c r="C36" s="595"/>
      <c r="D36" s="595"/>
      <c r="E36" s="595"/>
      <c r="F36" s="595"/>
      <c r="G36" s="595"/>
      <c r="H36" s="595"/>
      <c r="I36" s="595"/>
      <c r="J36" s="595"/>
      <c r="K36" s="595"/>
      <c r="L36" s="595"/>
      <c r="O36" s="15"/>
      <c r="P36" s="12"/>
      <c r="Q36" s="12"/>
      <c r="R36" s="12"/>
      <c r="S36" s="10"/>
    </row>
    <row r="37" spans="1:19" s="41" customFormat="1" ht="15" customHeight="1" x14ac:dyDescent="0.25">
      <c r="A37" s="39"/>
      <c r="B37" s="595"/>
      <c r="C37" s="595"/>
      <c r="D37" s="595"/>
      <c r="E37" s="595"/>
      <c r="F37" s="595"/>
      <c r="G37" s="595"/>
      <c r="H37" s="595"/>
      <c r="I37" s="595"/>
      <c r="J37" s="595"/>
      <c r="K37" s="595"/>
      <c r="L37" s="595"/>
      <c r="O37" s="15"/>
      <c r="P37" s="12"/>
      <c r="Q37" s="12"/>
      <c r="R37" s="12"/>
      <c r="S37" s="10"/>
    </row>
    <row r="38" spans="1:19" s="41" customFormat="1" ht="15" customHeight="1" x14ac:dyDescent="0.25">
      <c r="A38" s="39"/>
      <c r="B38" s="595"/>
      <c r="C38" s="595"/>
      <c r="D38" s="595"/>
      <c r="E38" s="595"/>
      <c r="F38" s="595"/>
      <c r="G38" s="595"/>
      <c r="H38" s="595"/>
      <c r="I38" s="595"/>
      <c r="J38" s="595"/>
      <c r="K38" s="595"/>
      <c r="L38" s="595"/>
      <c r="O38" s="15"/>
      <c r="P38" s="12"/>
      <c r="Q38" s="12"/>
      <c r="R38" s="12"/>
      <c r="S38" s="10"/>
    </row>
    <row r="39" spans="1:19" s="41" customFormat="1" ht="13.8" x14ac:dyDescent="0.25">
      <c r="A39" s="39"/>
      <c r="B39" s="595"/>
      <c r="C39" s="595"/>
      <c r="D39" s="595"/>
      <c r="E39" s="595"/>
      <c r="F39" s="595"/>
      <c r="G39" s="595"/>
      <c r="H39" s="595"/>
      <c r="I39" s="595"/>
      <c r="J39" s="595"/>
      <c r="K39" s="595"/>
      <c r="L39" s="595"/>
      <c r="O39" s="15"/>
      <c r="P39" s="12"/>
      <c r="Q39" s="12"/>
      <c r="R39" s="12"/>
      <c r="S39" s="10"/>
    </row>
    <row r="40" spans="1:19" s="41" customFormat="1" ht="13.8" x14ac:dyDescent="0.25">
      <c r="A40" s="39"/>
      <c r="B40" s="595"/>
      <c r="C40" s="595"/>
      <c r="D40" s="595"/>
      <c r="E40" s="595"/>
      <c r="F40" s="595"/>
      <c r="G40" s="595"/>
      <c r="H40" s="595"/>
      <c r="I40" s="595"/>
      <c r="J40" s="595"/>
      <c r="K40" s="595"/>
      <c r="L40" s="595"/>
      <c r="O40" s="15"/>
      <c r="P40" s="12"/>
      <c r="Q40" s="12"/>
      <c r="R40" s="12"/>
      <c r="S40" s="10"/>
    </row>
    <row r="41" spans="1:19" s="41" customFormat="1" ht="13.8" x14ac:dyDescent="0.25">
      <c r="A41" s="39"/>
      <c r="B41" s="595"/>
      <c r="C41" s="595"/>
      <c r="D41" s="595"/>
      <c r="E41" s="595"/>
      <c r="F41" s="595"/>
      <c r="G41" s="595"/>
      <c r="H41" s="595"/>
      <c r="I41" s="595"/>
      <c r="J41" s="595"/>
      <c r="K41" s="595"/>
      <c r="L41" s="595"/>
      <c r="O41" s="15"/>
      <c r="P41" s="12"/>
      <c r="Q41" s="12"/>
      <c r="R41" s="12"/>
      <c r="S41" s="10"/>
    </row>
    <row r="42" spans="1:19" s="41" customFormat="1" ht="13.8" x14ac:dyDescent="0.25">
      <c r="A42" s="39"/>
      <c r="B42" s="595"/>
      <c r="C42" s="595"/>
      <c r="D42" s="595"/>
      <c r="E42" s="595"/>
      <c r="F42" s="595"/>
      <c r="G42" s="595"/>
      <c r="H42" s="595"/>
      <c r="I42" s="595"/>
      <c r="J42" s="595"/>
      <c r="K42" s="595"/>
      <c r="L42" s="595"/>
      <c r="O42" s="15"/>
      <c r="P42" s="12"/>
      <c r="Q42" s="12"/>
      <c r="R42" s="12"/>
      <c r="S42" s="10"/>
    </row>
    <row r="43" spans="1:19" s="41" customFormat="1" ht="5.25" customHeight="1" x14ac:dyDescent="0.25">
      <c r="A43" s="44"/>
      <c r="B43" s="44"/>
      <c r="C43" s="44"/>
      <c r="D43" s="44"/>
      <c r="E43" s="44"/>
      <c r="F43" s="44"/>
      <c r="G43" s="44"/>
      <c r="H43" s="45"/>
      <c r="I43" s="45"/>
      <c r="J43" s="46"/>
      <c r="K43" s="47"/>
      <c r="L43" s="47"/>
      <c r="M43" s="47"/>
      <c r="O43" s="15"/>
      <c r="P43" s="12"/>
      <c r="Q43" s="12"/>
      <c r="R43" s="12"/>
      <c r="S43" s="37"/>
    </row>
    <row r="44" spans="1:19" s="41" customFormat="1" ht="16.5" customHeight="1" x14ac:dyDescent="0.25">
      <c r="A44" s="43"/>
      <c r="B44" s="48" t="s">
        <v>26</v>
      </c>
      <c r="D44" s="42"/>
      <c r="E44" s="42"/>
      <c r="F44" s="42"/>
      <c r="G44" s="42"/>
      <c r="H44" s="53"/>
      <c r="J44" s="42"/>
      <c r="O44" s="15"/>
      <c r="P44" s="12"/>
      <c r="Q44" s="12"/>
      <c r="R44" s="12"/>
      <c r="S44" s="37"/>
    </row>
    <row r="45" spans="1:19" s="41" customFormat="1" ht="15.75" customHeight="1" x14ac:dyDescent="0.25">
      <c r="A45" s="43"/>
      <c r="B45" s="48"/>
      <c r="D45" s="42"/>
      <c r="E45" s="42"/>
      <c r="F45" s="42"/>
      <c r="G45" s="42"/>
      <c r="H45" s="53"/>
      <c r="I45" s="53" t="s">
        <v>27</v>
      </c>
      <c r="J45" s="42"/>
      <c r="L45" s="54" t="s">
        <v>28</v>
      </c>
      <c r="O45" s="15"/>
      <c r="P45" s="55"/>
      <c r="Q45" s="508"/>
      <c r="R45" s="12"/>
      <c r="S45" s="37"/>
    </row>
    <row r="46" spans="1:19" s="41" customFormat="1" ht="15.75" customHeight="1" x14ac:dyDescent="0.25">
      <c r="A46" s="43"/>
      <c r="B46" s="55" t="s">
        <v>29</v>
      </c>
      <c r="C46" s="508" t="s">
        <v>318</v>
      </c>
      <c r="D46" s="493"/>
      <c r="E46" s="493"/>
      <c r="F46" s="493"/>
      <c r="G46" s="261"/>
      <c r="H46" s="261"/>
      <c r="I46" s="261" t="s">
        <v>2</v>
      </c>
      <c r="J46" s="261"/>
      <c r="K46" s="261"/>
      <c r="L46" s="219">
        <v>577000</v>
      </c>
      <c r="M46" s="331" t="s">
        <v>204</v>
      </c>
      <c r="N46" s="331"/>
      <c r="O46" s="43"/>
      <c r="P46" s="55"/>
      <c r="Q46" s="508"/>
      <c r="S46" s="40"/>
    </row>
    <row r="47" spans="1:19" s="41" customFormat="1" ht="15.75" customHeight="1" x14ac:dyDescent="0.25">
      <c r="A47" s="43"/>
      <c r="B47" s="55"/>
      <c r="C47" s="508"/>
      <c r="D47" s="504"/>
      <c r="E47" s="504"/>
      <c r="F47" s="504"/>
      <c r="G47" s="261"/>
      <c r="H47" s="261"/>
      <c r="I47" s="261"/>
      <c r="J47" s="261"/>
      <c r="K47" s="261"/>
      <c r="L47" s="219"/>
      <c r="M47" s="331"/>
      <c r="N47" s="331"/>
      <c r="O47" s="43"/>
      <c r="P47" s="55"/>
      <c r="Q47" s="508"/>
      <c r="S47" s="40"/>
    </row>
    <row r="48" spans="1:19" s="41" customFormat="1" ht="13.8" x14ac:dyDescent="0.25">
      <c r="A48" s="43"/>
      <c r="B48" s="55" t="s">
        <v>30</v>
      </c>
      <c r="C48" s="508" t="s">
        <v>321</v>
      </c>
      <c r="D48" s="491"/>
      <c r="E48" s="491"/>
      <c r="F48" s="491"/>
      <c r="G48" s="261"/>
      <c r="H48" s="261"/>
      <c r="I48" s="261" t="s">
        <v>2</v>
      </c>
      <c r="J48" s="490"/>
      <c r="K48" s="490"/>
      <c r="L48" s="219">
        <v>274000</v>
      </c>
      <c r="M48" s="331"/>
      <c r="N48" s="331"/>
      <c r="O48" s="43"/>
      <c r="P48" s="55"/>
      <c r="Q48" s="276"/>
      <c r="S48" s="40"/>
    </row>
    <row r="49" spans="1:23" s="41" customFormat="1" ht="13.8" x14ac:dyDescent="0.25">
      <c r="A49" s="43"/>
      <c r="B49" s="55"/>
      <c r="C49" s="276"/>
      <c r="D49" s="491"/>
      <c r="E49" s="491"/>
      <c r="F49" s="491"/>
      <c r="G49" s="261"/>
      <c r="H49" s="261"/>
      <c r="I49" s="261"/>
      <c r="J49" s="490"/>
      <c r="K49" s="490"/>
      <c r="L49" s="220"/>
      <c r="M49" s="331"/>
      <c r="N49" s="331"/>
      <c r="O49" s="43"/>
      <c r="P49" s="55"/>
      <c r="Q49" s="510"/>
      <c r="S49" s="40"/>
    </row>
    <row r="50" spans="1:23" s="41" customFormat="1" ht="15.75" customHeight="1" x14ac:dyDescent="0.25">
      <c r="A50" s="43"/>
      <c r="B50" s="509" t="s">
        <v>395</v>
      </c>
      <c r="C50" s="508"/>
      <c r="D50" s="504"/>
      <c r="E50" s="504"/>
      <c r="F50" s="504"/>
      <c r="G50" s="261"/>
      <c r="H50" s="261"/>
      <c r="I50" s="261"/>
      <c r="J50" s="261"/>
      <c r="K50" s="261"/>
      <c r="L50" s="219"/>
      <c r="M50" s="331"/>
      <c r="N50" s="331"/>
      <c r="O50" s="43"/>
      <c r="P50" s="55"/>
      <c r="Q50" s="508"/>
      <c r="S50" s="40"/>
    </row>
    <row r="51" spans="1:23" s="41" customFormat="1" ht="13.8" x14ac:dyDescent="0.25">
      <c r="A51" s="43"/>
      <c r="B51" s="55" t="s">
        <v>31</v>
      </c>
      <c r="C51" s="276" t="s">
        <v>319</v>
      </c>
      <c r="D51" s="493"/>
      <c r="E51" s="493"/>
      <c r="F51" s="493"/>
      <c r="G51" s="261"/>
      <c r="H51" s="261"/>
      <c r="I51" s="261" t="s">
        <v>2</v>
      </c>
      <c r="J51" s="266"/>
      <c r="K51" s="266"/>
      <c r="L51" s="219">
        <v>142000</v>
      </c>
      <c r="M51" s="331" t="s">
        <v>204</v>
      </c>
      <c r="N51" s="331"/>
      <c r="O51" s="43"/>
      <c r="P51" s="55"/>
      <c r="Q51" s="276"/>
      <c r="S51" s="40"/>
    </row>
    <row r="52" spans="1:23" s="41" customFormat="1" ht="13.8" x14ac:dyDescent="0.25">
      <c r="A52" s="43"/>
      <c r="B52" s="55" t="s">
        <v>32</v>
      </c>
      <c r="C52" s="276" t="s">
        <v>320</v>
      </c>
      <c r="D52" s="493"/>
      <c r="E52" s="493"/>
      <c r="F52" s="493"/>
      <c r="G52" s="261"/>
      <c r="H52" s="261"/>
      <c r="I52" s="261" t="s">
        <v>2</v>
      </c>
      <c r="J52" s="261"/>
      <c r="K52" s="261"/>
      <c r="L52" s="506">
        <f>-569000-65000</f>
        <v>-634000</v>
      </c>
      <c r="M52" s="331" t="s">
        <v>204</v>
      </c>
      <c r="N52" s="331"/>
      <c r="O52" s="43"/>
      <c r="P52" s="509"/>
      <c r="Q52" s="276"/>
      <c r="S52" s="40"/>
    </row>
    <row r="53" spans="1:23" s="41" customFormat="1" ht="13.8" x14ac:dyDescent="0.25">
      <c r="A53" s="43"/>
      <c r="B53" s="55"/>
      <c r="C53" s="276" t="s">
        <v>396</v>
      </c>
      <c r="D53" s="504"/>
      <c r="E53" s="504"/>
      <c r="F53" s="504"/>
      <c r="G53" s="261"/>
      <c r="H53" s="261"/>
      <c r="I53" s="261"/>
      <c r="J53" s="503"/>
      <c r="K53" s="503"/>
      <c r="L53" s="219">
        <f>SUM(L51:L52)</f>
        <v>-492000</v>
      </c>
      <c r="M53" s="331"/>
      <c r="N53" s="331"/>
      <c r="O53" s="43"/>
      <c r="P53" s="55"/>
      <c r="Q53" s="276"/>
      <c r="S53" s="40"/>
    </row>
    <row r="54" spans="1:23" s="41" customFormat="1" ht="13.8" hidden="1" x14ac:dyDescent="0.25">
      <c r="A54" s="43"/>
      <c r="B54" s="55"/>
      <c r="C54" s="276"/>
      <c r="D54" s="504"/>
      <c r="E54" s="504"/>
      <c r="F54" s="504"/>
      <c r="G54" s="261"/>
      <c r="H54" s="261"/>
      <c r="I54" s="261"/>
      <c r="J54" s="503"/>
      <c r="K54" s="503"/>
      <c r="L54" s="220"/>
      <c r="M54" s="331"/>
      <c r="N54" s="331"/>
      <c r="O54" s="43"/>
      <c r="P54" s="55"/>
      <c r="Q54" s="276"/>
      <c r="S54" s="40"/>
    </row>
    <row r="55" spans="1:23" s="41" customFormat="1" ht="13.8" hidden="1" x14ac:dyDescent="0.25">
      <c r="A55" s="43"/>
      <c r="B55" s="55"/>
      <c r="C55" s="276"/>
      <c r="D55" s="491"/>
      <c r="E55" s="491"/>
      <c r="F55" s="491"/>
      <c r="G55" s="261"/>
      <c r="H55" s="261"/>
      <c r="I55" s="261"/>
      <c r="J55" s="490"/>
      <c r="K55" s="490"/>
      <c r="L55" s="220"/>
      <c r="M55" s="331"/>
      <c r="N55" s="331"/>
      <c r="O55" s="43"/>
      <c r="P55" s="55"/>
      <c r="Q55" s="276"/>
      <c r="S55" s="40"/>
    </row>
    <row r="56" spans="1:23" s="41" customFormat="1" ht="13.8" hidden="1" x14ac:dyDescent="0.25">
      <c r="A56" s="43"/>
      <c r="B56" s="55"/>
      <c r="C56" s="276"/>
      <c r="D56" s="491"/>
      <c r="E56" s="491"/>
      <c r="F56" s="491"/>
      <c r="G56" s="261"/>
      <c r="H56" s="261"/>
      <c r="I56" s="261"/>
      <c r="J56" s="490"/>
      <c r="K56" s="490"/>
      <c r="L56" s="220"/>
      <c r="M56" s="331"/>
      <c r="N56" s="331"/>
      <c r="O56" s="43"/>
      <c r="P56" s="61"/>
      <c r="Q56" s="62"/>
      <c r="S56" s="40"/>
    </row>
    <row r="57" spans="1:23" s="41" customFormat="1" ht="13.8" x14ac:dyDescent="0.25">
      <c r="A57" s="43"/>
      <c r="B57" s="55"/>
      <c r="C57" s="276"/>
      <c r="D57" s="253"/>
      <c r="E57" s="253"/>
      <c r="F57" s="253"/>
      <c r="G57" s="261"/>
      <c r="H57" s="261"/>
      <c r="I57" s="261"/>
      <c r="J57" s="261"/>
      <c r="K57" s="261"/>
      <c r="L57" s="220"/>
      <c r="M57" s="331" t="s">
        <v>204</v>
      </c>
      <c r="O57" s="43"/>
      <c r="S57" s="40"/>
    </row>
    <row r="58" spans="1:23" s="62" customFormat="1" ht="14.4" thickBot="1" x14ac:dyDescent="0.3">
      <c r="A58" s="60"/>
      <c r="B58" s="61" t="s">
        <v>184</v>
      </c>
      <c r="E58" s="52"/>
      <c r="F58" s="52"/>
      <c r="G58" s="63"/>
      <c r="H58" s="51"/>
      <c r="I58" s="63"/>
      <c r="J58" s="42"/>
      <c r="L58" s="64">
        <f>+L53+L48+L46</f>
        <v>359000</v>
      </c>
      <c r="M58" s="41"/>
      <c r="N58" s="41"/>
      <c r="O58" s="43"/>
      <c r="P58" s="41"/>
      <c r="Q58" s="41"/>
      <c r="R58" s="41"/>
      <c r="S58" s="40"/>
    </row>
    <row r="59" spans="1:23" s="41" customFormat="1" ht="9.75" customHeight="1" thickTop="1" x14ac:dyDescent="0.25">
      <c r="A59" s="65"/>
      <c r="B59" s="66"/>
      <c r="C59" s="66"/>
      <c r="D59" s="66"/>
      <c r="E59" s="66"/>
      <c r="F59" s="66"/>
      <c r="G59" s="66"/>
      <c r="H59" s="66"/>
      <c r="I59" s="66"/>
      <c r="J59" s="67"/>
      <c r="K59" s="67"/>
      <c r="L59" s="47"/>
      <c r="M59" s="47"/>
      <c r="O59" s="43"/>
      <c r="W59" s="40"/>
    </row>
    <row r="60" spans="1:23" s="62" customFormat="1" ht="15" customHeight="1" x14ac:dyDescent="0.25">
      <c r="A60" s="60"/>
      <c r="B60" s="48" t="s">
        <v>34</v>
      </c>
      <c r="C60" s="202"/>
      <c r="D60" s="202"/>
      <c r="E60" s="202"/>
      <c r="F60" s="202"/>
      <c r="G60" s="202"/>
      <c r="H60" s="202"/>
      <c r="I60" s="202"/>
      <c r="J60" s="199"/>
      <c r="K60" s="199"/>
      <c r="N60" s="41"/>
      <c r="O60" s="60"/>
      <c r="W60" s="59"/>
    </row>
    <row r="61" spans="1:23" s="62" customFormat="1" ht="13.8" x14ac:dyDescent="0.25">
      <c r="A61" s="60"/>
      <c r="B61" s="596"/>
      <c r="C61" s="596"/>
      <c r="D61" s="596"/>
      <c r="E61" s="596"/>
      <c r="F61" s="596"/>
      <c r="G61" s="596"/>
      <c r="H61" s="596"/>
      <c r="I61" s="596"/>
      <c r="J61" s="596"/>
      <c r="K61" s="596"/>
      <c r="L61" s="596"/>
      <c r="N61" s="41"/>
      <c r="O61" s="60"/>
      <c r="W61" s="59"/>
    </row>
    <row r="62" spans="1:23" s="41" customFormat="1" ht="14.25" customHeight="1" thickBot="1" x14ac:dyDescent="0.3">
      <c r="A62" s="77"/>
      <c r="B62" s="78"/>
      <c r="C62" s="78"/>
      <c r="D62" s="78"/>
      <c r="E62" s="78"/>
      <c r="F62" s="78"/>
      <c r="G62" s="78"/>
      <c r="H62" s="78"/>
      <c r="I62" s="78"/>
      <c r="J62" s="79"/>
      <c r="K62" s="79"/>
      <c r="L62" s="80"/>
      <c r="M62" s="80"/>
      <c r="O62" s="43"/>
      <c r="W62" s="40"/>
    </row>
  </sheetData>
  <mergeCells count="2">
    <mergeCell ref="B23:L42"/>
    <mergeCell ref="B61:L61"/>
  </mergeCells>
  <dataValidations count="2">
    <dataValidation type="list" allowBlank="1" showInputMessage="1" showErrorMessage="1" sqref="G46:G57">
      <formula1>$O$17:$O$19</formula1>
    </dataValidation>
    <dataValidation type="list" allowBlank="1" showInputMessage="1" showErrorMessage="1" sqref="I46:K57">
      <formula1>$O$3:$O$21</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W100"/>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172</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478000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20720557</v>
      </c>
      <c r="F5" s="18">
        <v>21713302</v>
      </c>
      <c r="G5" s="18">
        <v>21876229</v>
      </c>
      <c r="I5" s="86" t="s">
        <v>38</v>
      </c>
      <c r="J5" s="73"/>
      <c r="K5" s="73"/>
      <c r="L5" s="73">
        <v>0</v>
      </c>
      <c r="O5" s="15" t="s">
        <v>4</v>
      </c>
      <c r="S5" s="10">
        <f t="shared" si="0"/>
        <v>0</v>
      </c>
    </row>
    <row r="6" spans="1:19" x14ac:dyDescent="0.25">
      <c r="B6" s="16" t="s">
        <v>7</v>
      </c>
      <c r="C6" s="17"/>
      <c r="D6" s="12"/>
      <c r="E6" s="18">
        <v>7365162</v>
      </c>
      <c r="F6" s="18">
        <v>7797907</v>
      </c>
      <c r="G6" s="18">
        <f>+G5-14392355</f>
        <v>7483874</v>
      </c>
      <c r="I6" s="87" t="s">
        <v>39</v>
      </c>
      <c r="J6" s="18">
        <v>0</v>
      </c>
      <c r="K6" s="18">
        <v>-258000</v>
      </c>
      <c r="L6" s="18">
        <v>-182000</v>
      </c>
      <c r="O6" s="15" t="s">
        <v>6</v>
      </c>
      <c r="S6" s="10">
        <f t="shared" si="0"/>
        <v>0</v>
      </c>
    </row>
    <row r="7" spans="1:19" x14ac:dyDescent="0.25">
      <c r="B7" s="21" t="s">
        <v>9</v>
      </c>
      <c r="C7" s="22"/>
      <c r="D7" s="23"/>
      <c r="E7" s="24">
        <v>7486921</v>
      </c>
      <c r="F7" s="24">
        <v>7904764</v>
      </c>
      <c r="G7" s="24">
        <f>G6-L6</f>
        <v>7665874</v>
      </c>
      <c r="I7" s="87" t="s">
        <v>40</v>
      </c>
      <c r="J7" s="18">
        <v>0</v>
      </c>
      <c r="K7" s="18">
        <v>-233000</v>
      </c>
      <c r="L7" s="18">
        <f>+L75</f>
        <v>-23000</v>
      </c>
      <c r="O7" s="15" t="s">
        <v>8</v>
      </c>
      <c r="P7" s="20"/>
      <c r="S7" s="10">
        <f t="shared" si="0"/>
        <v>0</v>
      </c>
    </row>
    <row r="8" spans="1:19" x14ac:dyDescent="0.25">
      <c r="B8" s="26" t="s">
        <v>11</v>
      </c>
      <c r="C8" s="27"/>
      <c r="D8" s="28"/>
      <c r="E8" s="29">
        <v>-121759</v>
      </c>
      <c r="F8" s="29">
        <v>-106857</v>
      </c>
      <c r="G8" s="29">
        <f>G6-G7</f>
        <v>-182000</v>
      </c>
      <c r="I8" s="88" t="s">
        <v>43</v>
      </c>
      <c r="J8" s="74">
        <f>E8</f>
        <v>-121759</v>
      </c>
      <c r="K8" s="74">
        <f>F8</f>
        <v>-106857</v>
      </c>
      <c r="L8" s="74"/>
      <c r="O8" s="15" t="s">
        <v>10</v>
      </c>
      <c r="P8" s="25"/>
      <c r="S8" s="10">
        <f t="shared" si="0"/>
        <v>0</v>
      </c>
    </row>
    <row r="9" spans="1:19" x14ac:dyDescent="0.25">
      <c r="B9" s="32" t="s">
        <v>37</v>
      </c>
      <c r="C9" s="33"/>
      <c r="D9" s="23"/>
      <c r="E9" s="34">
        <f>IF(ISERROR(IF(E8=0,"",(E8/$E$5))),"",(IF(E8=0,"",(E8/$E$5))))</f>
        <v>-5.8762416473649819E-3</v>
      </c>
      <c r="F9" s="34">
        <f>IF(ISERROR(IF(F8=0,"",(F8/$F$5))),"",(IF(F8=0,"",(F8/$F$5))))</f>
        <v>-4.921268999067945E-3</v>
      </c>
      <c r="G9" s="34">
        <f>IF(ISERROR(IF(G8=0,"",(G8/$G$5))),"",(IF(G8=0,"",(G8/$G$5))))</f>
        <v>-8.3195325848892873E-3</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-183000</v>
      </c>
    </row>
    <row r="14" spans="1:19" x14ac:dyDescent="0.25">
      <c r="O14" s="15" t="s">
        <v>17</v>
      </c>
      <c r="P14" s="36"/>
      <c r="Q14" s="36"/>
      <c r="S14" s="10">
        <f t="shared" si="0"/>
        <v>-52000</v>
      </c>
    </row>
    <row r="15" spans="1:19" x14ac:dyDescent="0.25">
      <c r="O15" s="15" t="s">
        <v>18</v>
      </c>
      <c r="P15" s="36"/>
      <c r="Q15" s="36"/>
      <c r="S15" s="10">
        <f t="shared" si="0"/>
        <v>0</v>
      </c>
    </row>
    <row r="16" spans="1:19" x14ac:dyDescent="0.25">
      <c r="O16" s="15" t="s">
        <v>19</v>
      </c>
      <c r="P16" s="36"/>
      <c r="Q16" s="36"/>
      <c r="S16" s="10">
        <f t="shared" si="0"/>
        <v>-266000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5.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-23000</v>
      </c>
    </row>
    <row r="23" spans="1:19" s="41" customFormat="1" ht="15" customHeight="1" x14ac:dyDescent="0.25">
      <c r="A23" s="39"/>
      <c r="B23" s="597" t="s">
        <v>402</v>
      </c>
      <c r="C23" s="597"/>
      <c r="D23" s="597"/>
      <c r="E23" s="597"/>
      <c r="F23" s="597"/>
      <c r="G23" s="597"/>
      <c r="H23" s="597"/>
      <c r="I23" s="597"/>
      <c r="J23" s="597"/>
      <c r="K23" s="597"/>
      <c r="L23" s="597"/>
      <c r="M23" s="252"/>
      <c r="N23" s="252"/>
      <c r="O23" s="252"/>
      <c r="P23" s="252"/>
      <c r="Q23" s="252"/>
      <c r="R23" s="252"/>
      <c r="S23" s="10"/>
    </row>
    <row r="24" spans="1:19" s="41" customFormat="1" ht="13.8" x14ac:dyDescent="0.25">
      <c r="A24" s="39"/>
      <c r="B24" s="597"/>
      <c r="C24" s="597"/>
      <c r="D24" s="597"/>
      <c r="E24" s="597"/>
      <c r="F24" s="597"/>
      <c r="G24" s="597"/>
      <c r="H24" s="597"/>
      <c r="I24" s="597"/>
      <c r="J24" s="597"/>
      <c r="K24" s="597"/>
      <c r="L24" s="597"/>
      <c r="M24" s="182"/>
      <c r="N24" s="182"/>
      <c r="O24" s="182"/>
      <c r="P24" s="182"/>
      <c r="Q24" s="182"/>
      <c r="R24" s="182"/>
      <c r="S24" s="10"/>
    </row>
    <row r="25" spans="1:19" s="41" customFormat="1" ht="13.8" x14ac:dyDescent="0.25">
      <c r="A25" s="39"/>
      <c r="B25" s="597"/>
      <c r="C25" s="597"/>
      <c r="D25" s="597"/>
      <c r="E25" s="597"/>
      <c r="F25" s="597"/>
      <c r="G25" s="597"/>
      <c r="H25" s="597"/>
      <c r="I25" s="597"/>
      <c r="J25" s="597"/>
      <c r="K25" s="597"/>
      <c r="L25" s="597"/>
      <c r="M25" s="252"/>
      <c r="N25" s="182"/>
      <c r="O25" s="182"/>
      <c r="P25" s="182"/>
      <c r="Q25" s="182"/>
      <c r="R25" s="182"/>
      <c r="S25" s="10"/>
    </row>
    <row r="26" spans="1:19" s="41" customFormat="1" ht="13.8" x14ac:dyDescent="0.25">
      <c r="A26" s="39"/>
      <c r="B26" s="597"/>
      <c r="C26" s="597"/>
      <c r="D26" s="597"/>
      <c r="E26" s="597"/>
      <c r="F26" s="597"/>
      <c r="G26" s="597"/>
      <c r="H26" s="597"/>
      <c r="I26" s="597"/>
      <c r="J26" s="597"/>
      <c r="K26" s="597"/>
      <c r="L26" s="597"/>
      <c r="M26" s="252"/>
      <c r="N26" s="182"/>
      <c r="O26" s="182"/>
      <c r="P26" s="182"/>
      <c r="Q26" s="182"/>
      <c r="R26" s="182"/>
      <c r="S26" s="10"/>
    </row>
    <row r="27" spans="1:19" s="41" customFormat="1" ht="13.8" x14ac:dyDescent="0.25">
      <c r="A27" s="39"/>
      <c r="B27" s="597"/>
      <c r="C27" s="597"/>
      <c r="D27" s="597"/>
      <c r="E27" s="597"/>
      <c r="F27" s="597"/>
      <c r="G27" s="597"/>
      <c r="H27" s="597"/>
      <c r="I27" s="597"/>
      <c r="J27" s="597"/>
      <c r="K27" s="597"/>
      <c r="L27" s="597"/>
      <c r="M27" s="252"/>
      <c r="N27" s="182"/>
      <c r="O27" s="182"/>
      <c r="P27" s="182"/>
      <c r="Q27" s="182"/>
      <c r="R27" s="182"/>
      <c r="S27" s="10"/>
    </row>
    <row r="28" spans="1:19" s="41" customFormat="1" ht="13.8" x14ac:dyDescent="0.25">
      <c r="A28" s="39"/>
      <c r="B28" s="597"/>
      <c r="C28" s="597"/>
      <c r="D28" s="597"/>
      <c r="E28" s="597"/>
      <c r="F28" s="597"/>
      <c r="G28" s="597"/>
      <c r="H28" s="597"/>
      <c r="I28" s="597"/>
      <c r="J28" s="597"/>
      <c r="K28" s="597"/>
      <c r="L28" s="597"/>
      <c r="M28" s="252"/>
      <c r="N28" s="182"/>
      <c r="O28" s="182"/>
      <c r="P28" s="182"/>
      <c r="Q28" s="182"/>
      <c r="R28" s="182"/>
      <c r="S28" s="10"/>
    </row>
    <row r="29" spans="1:19" s="41" customFormat="1" ht="13.8" x14ac:dyDescent="0.25">
      <c r="A29" s="39"/>
      <c r="B29" s="597"/>
      <c r="C29" s="597"/>
      <c r="D29" s="597"/>
      <c r="E29" s="597"/>
      <c r="F29" s="597"/>
      <c r="G29" s="597"/>
      <c r="H29" s="597"/>
      <c r="I29" s="597"/>
      <c r="J29" s="597"/>
      <c r="K29" s="597"/>
      <c r="L29" s="597"/>
      <c r="M29" s="252"/>
      <c r="N29" s="182"/>
      <c r="O29" s="182"/>
      <c r="P29" s="182"/>
      <c r="Q29" s="182"/>
      <c r="R29" s="182"/>
      <c r="S29" s="10"/>
    </row>
    <row r="30" spans="1:19" s="41" customFormat="1" ht="13.8" x14ac:dyDescent="0.25">
      <c r="A30" s="39"/>
      <c r="B30" s="597"/>
      <c r="C30" s="597"/>
      <c r="D30" s="597"/>
      <c r="E30" s="597"/>
      <c r="F30" s="597"/>
      <c r="G30" s="597"/>
      <c r="H30" s="597"/>
      <c r="I30" s="597"/>
      <c r="J30" s="597"/>
      <c r="K30" s="597"/>
      <c r="L30" s="597"/>
      <c r="M30" s="252"/>
      <c r="N30" s="182"/>
      <c r="O30" s="182"/>
      <c r="P30" s="182"/>
      <c r="Q30" s="182"/>
      <c r="R30" s="182"/>
      <c r="S30" s="10"/>
    </row>
    <row r="31" spans="1:19" s="41" customFormat="1" ht="13.8" x14ac:dyDescent="0.25">
      <c r="A31" s="39"/>
      <c r="B31" s="597"/>
      <c r="C31" s="597"/>
      <c r="D31" s="597"/>
      <c r="E31" s="597"/>
      <c r="F31" s="597"/>
      <c r="G31" s="597"/>
      <c r="H31" s="597"/>
      <c r="I31" s="597"/>
      <c r="J31" s="597"/>
      <c r="K31" s="597"/>
      <c r="L31" s="597"/>
      <c r="M31" s="252"/>
      <c r="N31" s="182"/>
      <c r="O31" s="182"/>
      <c r="P31" s="182"/>
      <c r="Q31" s="182"/>
      <c r="R31" s="182"/>
      <c r="S31" s="10"/>
    </row>
    <row r="32" spans="1:19" s="41" customFormat="1" ht="13.8" x14ac:dyDescent="0.25">
      <c r="A32" s="39"/>
      <c r="B32" s="597"/>
      <c r="C32" s="597"/>
      <c r="D32" s="597"/>
      <c r="E32" s="597"/>
      <c r="F32" s="597"/>
      <c r="G32" s="597"/>
      <c r="H32" s="597"/>
      <c r="I32" s="597"/>
      <c r="J32" s="597"/>
      <c r="K32" s="597"/>
      <c r="L32" s="597"/>
      <c r="M32" s="252"/>
      <c r="N32" s="182"/>
      <c r="O32" s="182"/>
      <c r="P32" s="182"/>
      <c r="Q32" s="182"/>
      <c r="R32" s="182"/>
      <c r="S32" s="10"/>
    </row>
    <row r="33" spans="1:19" s="41" customFormat="1" ht="13.8" x14ac:dyDescent="0.25">
      <c r="A33" s="39"/>
      <c r="B33" s="597"/>
      <c r="C33" s="597"/>
      <c r="D33" s="597"/>
      <c r="E33" s="597"/>
      <c r="F33" s="597"/>
      <c r="G33" s="597"/>
      <c r="H33" s="597"/>
      <c r="I33" s="597"/>
      <c r="J33" s="597"/>
      <c r="K33" s="597"/>
      <c r="L33" s="597"/>
      <c r="M33" s="252"/>
      <c r="N33" s="182"/>
      <c r="O33" s="182"/>
      <c r="P33" s="182"/>
      <c r="Q33" s="182"/>
      <c r="R33" s="182"/>
      <c r="S33" s="10"/>
    </row>
    <row r="34" spans="1:19" s="41" customFormat="1" ht="13.8" x14ac:dyDescent="0.25">
      <c r="A34" s="39"/>
      <c r="B34" s="597"/>
      <c r="C34" s="597"/>
      <c r="D34" s="597"/>
      <c r="E34" s="597"/>
      <c r="F34" s="597"/>
      <c r="G34" s="597"/>
      <c r="H34" s="597"/>
      <c r="I34" s="597"/>
      <c r="J34" s="597"/>
      <c r="K34" s="597"/>
      <c r="L34" s="597"/>
      <c r="M34" s="252"/>
      <c r="N34" s="182"/>
      <c r="O34" s="182"/>
      <c r="P34" s="182"/>
      <c r="Q34" s="182"/>
      <c r="R34" s="182"/>
      <c r="S34" s="10"/>
    </row>
    <row r="35" spans="1:19" s="41" customFormat="1" ht="13.8" x14ac:dyDescent="0.25">
      <c r="A35" s="39"/>
      <c r="B35" s="597"/>
      <c r="C35" s="597"/>
      <c r="D35" s="597"/>
      <c r="E35" s="597"/>
      <c r="F35" s="597"/>
      <c r="G35" s="597"/>
      <c r="H35" s="597"/>
      <c r="I35" s="597"/>
      <c r="J35" s="597"/>
      <c r="K35" s="597"/>
      <c r="L35" s="597"/>
      <c r="M35" s="252"/>
      <c r="N35" s="182"/>
      <c r="O35" s="182"/>
      <c r="P35" s="182"/>
      <c r="Q35" s="182"/>
      <c r="R35" s="182"/>
      <c r="S35" s="10"/>
    </row>
    <row r="36" spans="1:19" s="41" customFormat="1" ht="13.8" x14ac:dyDescent="0.25">
      <c r="A36" s="39"/>
      <c r="B36" s="597"/>
      <c r="C36" s="597"/>
      <c r="D36" s="597"/>
      <c r="E36" s="597"/>
      <c r="F36" s="597"/>
      <c r="G36" s="597"/>
      <c r="H36" s="597"/>
      <c r="I36" s="597"/>
      <c r="J36" s="597"/>
      <c r="K36" s="597"/>
      <c r="L36" s="597"/>
      <c r="M36" s="252"/>
      <c r="N36" s="182"/>
      <c r="O36" s="182"/>
      <c r="P36" s="182"/>
      <c r="Q36" s="182"/>
      <c r="R36" s="182"/>
      <c r="S36" s="10"/>
    </row>
    <row r="37" spans="1:19" s="41" customFormat="1" ht="13.8" x14ac:dyDescent="0.25">
      <c r="A37" s="39"/>
      <c r="B37" s="597"/>
      <c r="C37" s="597"/>
      <c r="D37" s="597"/>
      <c r="E37" s="597"/>
      <c r="F37" s="597"/>
      <c r="G37" s="597"/>
      <c r="H37" s="597"/>
      <c r="I37" s="597"/>
      <c r="J37" s="597"/>
      <c r="K37" s="597"/>
      <c r="L37" s="597"/>
      <c r="M37" s="252"/>
      <c r="N37" s="182"/>
      <c r="O37" s="182"/>
      <c r="P37" s="182"/>
      <c r="Q37" s="182"/>
      <c r="R37" s="182"/>
      <c r="S37" s="10"/>
    </row>
    <row r="38" spans="1:19" s="41" customFormat="1" ht="13.8" x14ac:dyDescent="0.25">
      <c r="A38" s="39"/>
      <c r="B38" s="597"/>
      <c r="C38" s="597"/>
      <c r="D38" s="597"/>
      <c r="E38" s="597"/>
      <c r="F38" s="597"/>
      <c r="G38" s="597"/>
      <c r="H38" s="597"/>
      <c r="I38" s="597"/>
      <c r="J38" s="597"/>
      <c r="K38" s="597"/>
      <c r="L38" s="597"/>
      <c r="M38" s="252"/>
      <c r="N38" s="182"/>
      <c r="O38" s="182"/>
      <c r="P38" s="182"/>
      <c r="Q38" s="182"/>
      <c r="R38" s="182"/>
      <c r="S38" s="10"/>
    </row>
    <row r="39" spans="1:19" s="41" customFormat="1" ht="13.8" x14ac:dyDescent="0.25">
      <c r="A39" s="39"/>
      <c r="B39" s="597"/>
      <c r="C39" s="597"/>
      <c r="D39" s="597"/>
      <c r="E39" s="597"/>
      <c r="F39" s="597"/>
      <c r="G39" s="597"/>
      <c r="H39" s="597"/>
      <c r="I39" s="597"/>
      <c r="J39" s="597"/>
      <c r="K39" s="597"/>
      <c r="L39" s="597"/>
      <c r="M39" s="252"/>
      <c r="N39" s="182"/>
      <c r="O39" s="182"/>
      <c r="P39" s="182"/>
      <c r="Q39" s="182"/>
      <c r="R39" s="182"/>
      <c r="S39" s="10"/>
    </row>
    <row r="40" spans="1:19" s="41" customFormat="1" ht="13.8" x14ac:dyDescent="0.25">
      <c r="A40" s="39"/>
      <c r="B40" s="597"/>
      <c r="C40" s="597"/>
      <c r="D40" s="597"/>
      <c r="E40" s="597"/>
      <c r="F40" s="597"/>
      <c r="G40" s="597"/>
      <c r="H40" s="597"/>
      <c r="I40" s="597"/>
      <c r="J40" s="597"/>
      <c r="K40" s="597"/>
      <c r="L40" s="597"/>
      <c r="M40" s="252"/>
      <c r="N40" s="182"/>
      <c r="O40" s="182"/>
      <c r="P40" s="182"/>
      <c r="Q40" s="182"/>
      <c r="R40" s="182"/>
      <c r="S40" s="10"/>
    </row>
    <row r="41" spans="1:19" s="41" customFormat="1" ht="13.8" x14ac:dyDescent="0.25">
      <c r="A41" s="39"/>
      <c r="B41" s="597"/>
      <c r="C41" s="597"/>
      <c r="D41" s="597"/>
      <c r="E41" s="597"/>
      <c r="F41" s="597"/>
      <c r="G41" s="597"/>
      <c r="H41" s="597"/>
      <c r="I41" s="597"/>
      <c r="J41" s="597"/>
      <c r="K41" s="597"/>
      <c r="L41" s="597"/>
      <c r="M41" s="252"/>
      <c r="N41" s="182"/>
      <c r="O41" s="182"/>
      <c r="P41" s="182"/>
      <c r="Q41" s="182"/>
      <c r="R41" s="182"/>
      <c r="S41" s="10"/>
    </row>
    <row r="42" spans="1:19" s="41" customFormat="1" ht="13.8" x14ac:dyDescent="0.25">
      <c r="A42" s="39"/>
      <c r="B42" s="597"/>
      <c r="C42" s="597"/>
      <c r="D42" s="597"/>
      <c r="E42" s="597"/>
      <c r="F42" s="597"/>
      <c r="G42" s="597"/>
      <c r="H42" s="597"/>
      <c r="I42" s="597"/>
      <c r="J42" s="597"/>
      <c r="K42" s="597"/>
      <c r="L42" s="597"/>
      <c r="M42" s="252"/>
      <c r="N42" s="182"/>
      <c r="O42" s="182"/>
      <c r="P42" s="182"/>
      <c r="Q42" s="182"/>
      <c r="R42" s="182"/>
      <c r="S42" s="10"/>
    </row>
    <row r="43" spans="1:19" s="41" customFormat="1" ht="13.8" x14ac:dyDescent="0.25">
      <c r="A43" s="39"/>
      <c r="B43" s="597"/>
      <c r="C43" s="597"/>
      <c r="D43" s="597"/>
      <c r="E43" s="597"/>
      <c r="F43" s="597"/>
      <c r="G43" s="597"/>
      <c r="H43" s="597"/>
      <c r="I43" s="597"/>
      <c r="J43" s="597"/>
      <c r="K43" s="597"/>
      <c r="L43" s="597"/>
      <c r="M43" s="252"/>
      <c r="N43" s="182"/>
      <c r="O43" s="182"/>
      <c r="P43" s="182"/>
      <c r="Q43" s="182"/>
      <c r="R43" s="182"/>
      <c r="S43" s="10"/>
    </row>
    <row r="44" spans="1:19" s="41" customFormat="1" ht="13.8" x14ac:dyDescent="0.25">
      <c r="A44" s="39"/>
      <c r="B44" s="597"/>
      <c r="C44" s="597"/>
      <c r="D44" s="597"/>
      <c r="E44" s="597"/>
      <c r="F44" s="597"/>
      <c r="G44" s="597"/>
      <c r="H44" s="597"/>
      <c r="I44" s="597"/>
      <c r="J44" s="597"/>
      <c r="K44" s="597"/>
      <c r="L44" s="597"/>
      <c r="M44" s="252"/>
      <c r="N44" s="182"/>
      <c r="O44" s="182"/>
      <c r="P44" s="182"/>
      <c r="Q44" s="182"/>
      <c r="R44" s="182"/>
      <c r="S44" s="10"/>
    </row>
    <row r="45" spans="1:19" s="41" customFormat="1" ht="13.8" x14ac:dyDescent="0.25">
      <c r="A45" s="39"/>
      <c r="B45" s="597"/>
      <c r="C45" s="597"/>
      <c r="D45" s="597"/>
      <c r="E45" s="597"/>
      <c r="F45" s="597"/>
      <c r="G45" s="597"/>
      <c r="H45" s="597"/>
      <c r="I45" s="597"/>
      <c r="J45" s="597"/>
      <c r="K45" s="597"/>
      <c r="L45" s="597"/>
      <c r="M45" s="252"/>
      <c r="N45" s="182"/>
      <c r="O45" s="182"/>
      <c r="P45" s="182"/>
      <c r="Q45" s="182"/>
      <c r="R45" s="182"/>
      <c r="S45" s="10"/>
    </row>
    <row r="46" spans="1:19" s="41" customFormat="1" ht="13.8" x14ac:dyDescent="0.25">
      <c r="A46" s="39"/>
      <c r="B46" s="597"/>
      <c r="C46" s="597"/>
      <c r="D46" s="597"/>
      <c r="E46" s="597"/>
      <c r="F46" s="597"/>
      <c r="G46" s="597"/>
      <c r="H46" s="597"/>
      <c r="I46" s="597"/>
      <c r="J46" s="597"/>
      <c r="K46" s="597"/>
      <c r="L46" s="597"/>
      <c r="M46" s="252"/>
      <c r="N46" s="182"/>
      <c r="O46" s="182"/>
      <c r="P46" s="182"/>
      <c r="Q46" s="182"/>
      <c r="R46" s="182"/>
      <c r="S46" s="10"/>
    </row>
    <row r="47" spans="1:19" s="41" customFormat="1" ht="13.8" x14ac:dyDescent="0.25">
      <c r="A47" s="39"/>
      <c r="B47" s="597"/>
      <c r="C47" s="597"/>
      <c r="D47" s="597"/>
      <c r="E47" s="597"/>
      <c r="F47" s="597"/>
      <c r="G47" s="597"/>
      <c r="H47" s="597"/>
      <c r="I47" s="597"/>
      <c r="J47" s="597"/>
      <c r="K47" s="597"/>
      <c r="L47" s="597"/>
      <c r="M47" s="252"/>
      <c r="N47" s="182"/>
      <c r="O47" s="182"/>
      <c r="P47" s="182"/>
      <c r="Q47" s="182"/>
      <c r="R47" s="182"/>
      <c r="S47" s="10"/>
    </row>
    <row r="48" spans="1:19" s="41" customFormat="1" ht="13.8" x14ac:dyDescent="0.25">
      <c r="A48" s="39"/>
      <c r="B48" s="597"/>
      <c r="C48" s="597"/>
      <c r="D48" s="597"/>
      <c r="E48" s="597"/>
      <c r="F48" s="597"/>
      <c r="G48" s="597"/>
      <c r="H48" s="597"/>
      <c r="I48" s="597"/>
      <c r="J48" s="597"/>
      <c r="K48" s="597"/>
      <c r="L48" s="597"/>
      <c r="M48" s="252"/>
      <c r="N48" s="182"/>
      <c r="O48" s="182"/>
      <c r="P48" s="182"/>
      <c r="Q48" s="182"/>
      <c r="R48" s="182"/>
      <c r="S48" s="10"/>
    </row>
    <row r="49" spans="1:20" s="41" customFormat="1" ht="13.8" x14ac:dyDescent="0.25">
      <c r="A49" s="39"/>
      <c r="B49" s="597"/>
      <c r="C49" s="597"/>
      <c r="D49" s="597"/>
      <c r="E49" s="597"/>
      <c r="F49" s="597"/>
      <c r="G49" s="597"/>
      <c r="H49" s="597"/>
      <c r="I49" s="597"/>
      <c r="J49" s="597"/>
      <c r="K49" s="597"/>
      <c r="L49" s="597"/>
      <c r="M49" s="252"/>
      <c r="N49" s="182"/>
      <c r="O49" s="182"/>
      <c r="P49" s="182"/>
      <c r="Q49" s="182"/>
      <c r="R49" s="182"/>
      <c r="S49" s="10"/>
    </row>
    <row r="50" spans="1:20" s="41" customFormat="1" ht="13.8" x14ac:dyDescent="0.25">
      <c r="A50" s="39"/>
      <c r="B50" s="597"/>
      <c r="C50" s="597"/>
      <c r="D50" s="597"/>
      <c r="E50" s="597"/>
      <c r="F50" s="597"/>
      <c r="G50" s="597"/>
      <c r="H50" s="597"/>
      <c r="I50" s="597"/>
      <c r="J50" s="597"/>
      <c r="K50" s="597"/>
      <c r="L50" s="597"/>
      <c r="M50" s="252"/>
      <c r="N50" s="182"/>
      <c r="O50" s="182"/>
      <c r="P50" s="182"/>
      <c r="Q50" s="182"/>
      <c r="R50" s="182"/>
      <c r="S50" s="10"/>
    </row>
    <row r="51" spans="1:20" s="41" customFormat="1" ht="13.8" x14ac:dyDescent="0.25">
      <c r="A51" s="39"/>
      <c r="B51" s="597"/>
      <c r="C51" s="597"/>
      <c r="D51" s="597"/>
      <c r="E51" s="597"/>
      <c r="F51" s="597"/>
      <c r="G51" s="597"/>
      <c r="H51" s="597"/>
      <c r="I51" s="597"/>
      <c r="J51" s="597"/>
      <c r="K51" s="597"/>
      <c r="L51" s="597"/>
      <c r="M51" s="252"/>
      <c r="N51" s="182"/>
      <c r="O51" s="182"/>
      <c r="P51" s="182"/>
      <c r="Q51" s="182"/>
      <c r="R51" s="182"/>
      <c r="S51" s="10"/>
    </row>
    <row r="52" spans="1:20" s="41" customFormat="1" ht="13.8" x14ac:dyDescent="0.25">
      <c r="A52" s="39"/>
      <c r="B52" s="597"/>
      <c r="C52" s="597"/>
      <c r="D52" s="597"/>
      <c r="E52" s="597"/>
      <c r="F52" s="597"/>
      <c r="G52" s="597"/>
      <c r="H52" s="597"/>
      <c r="I52" s="597"/>
      <c r="J52" s="597"/>
      <c r="K52" s="597"/>
      <c r="L52" s="597"/>
      <c r="M52" s="252"/>
      <c r="N52" s="182"/>
      <c r="O52" s="182"/>
      <c r="P52" s="182"/>
      <c r="Q52" s="182"/>
      <c r="R52" s="182"/>
      <c r="S52" s="10"/>
    </row>
    <row r="53" spans="1:20" s="41" customFormat="1" ht="13.8" x14ac:dyDescent="0.25">
      <c r="A53" s="39"/>
      <c r="B53" s="597"/>
      <c r="C53" s="597"/>
      <c r="D53" s="597"/>
      <c r="E53" s="597"/>
      <c r="F53" s="597"/>
      <c r="G53" s="597"/>
      <c r="H53" s="597"/>
      <c r="I53" s="597"/>
      <c r="J53" s="597"/>
      <c r="K53" s="597"/>
      <c r="L53" s="597"/>
      <c r="M53" s="252"/>
      <c r="N53" s="182"/>
      <c r="O53" s="182"/>
      <c r="P53" s="182"/>
      <c r="Q53" s="182"/>
      <c r="R53" s="182"/>
      <c r="S53" s="10"/>
    </row>
    <row r="54" spans="1:20" s="41" customFormat="1" ht="13.8" x14ac:dyDescent="0.25">
      <c r="A54" s="39"/>
      <c r="B54" s="597"/>
      <c r="C54" s="597"/>
      <c r="D54" s="597"/>
      <c r="E54" s="597"/>
      <c r="F54" s="597"/>
      <c r="G54" s="597"/>
      <c r="H54" s="597"/>
      <c r="I54" s="597"/>
      <c r="J54" s="597"/>
      <c r="K54" s="597"/>
      <c r="L54" s="597"/>
      <c r="M54" s="252"/>
      <c r="N54" s="182"/>
      <c r="O54" s="182"/>
      <c r="P54" s="182"/>
      <c r="Q54" s="182"/>
      <c r="R54" s="182"/>
      <c r="S54" s="10"/>
    </row>
    <row r="55" spans="1:20" s="41" customFormat="1" ht="13.8" x14ac:dyDescent="0.25">
      <c r="A55" s="39"/>
      <c r="B55" s="597"/>
      <c r="C55" s="597"/>
      <c r="D55" s="597"/>
      <c r="E55" s="597"/>
      <c r="F55" s="597"/>
      <c r="G55" s="597"/>
      <c r="H55" s="597"/>
      <c r="I55" s="597"/>
      <c r="J55" s="597"/>
      <c r="K55" s="597"/>
      <c r="L55" s="597"/>
      <c r="M55" s="252"/>
      <c r="N55" s="182"/>
      <c r="O55" s="182"/>
      <c r="P55" s="182"/>
      <c r="Q55" s="182"/>
      <c r="R55" s="182"/>
      <c r="S55" s="10"/>
    </row>
    <row r="56" spans="1:20" s="41" customFormat="1" ht="13.8" x14ac:dyDescent="0.25">
      <c r="A56" s="39"/>
      <c r="B56" s="597"/>
      <c r="C56" s="597"/>
      <c r="D56" s="597"/>
      <c r="E56" s="597"/>
      <c r="F56" s="597"/>
      <c r="G56" s="597"/>
      <c r="H56" s="597"/>
      <c r="I56" s="597"/>
      <c r="J56" s="597"/>
      <c r="K56" s="597"/>
      <c r="L56" s="597"/>
      <c r="M56" s="252"/>
      <c r="N56" s="182"/>
      <c r="O56" s="182"/>
      <c r="P56" s="182"/>
      <c r="Q56" s="182"/>
      <c r="R56" s="182"/>
      <c r="S56" s="10"/>
    </row>
    <row r="57" spans="1:20" s="41" customFormat="1" ht="13.8" x14ac:dyDescent="0.25">
      <c r="A57" s="39"/>
      <c r="B57" s="597"/>
      <c r="C57" s="597"/>
      <c r="D57" s="597"/>
      <c r="E57" s="597"/>
      <c r="F57" s="597"/>
      <c r="G57" s="597"/>
      <c r="H57" s="597"/>
      <c r="I57" s="597"/>
      <c r="J57" s="597"/>
      <c r="K57" s="597"/>
      <c r="L57" s="597"/>
      <c r="M57" s="252"/>
      <c r="N57" s="182"/>
      <c r="O57" s="182"/>
      <c r="P57" s="182"/>
      <c r="Q57" s="182"/>
      <c r="R57" s="182"/>
      <c r="S57" s="10"/>
    </row>
    <row r="58" spans="1:20" s="41" customFormat="1" ht="13.8" x14ac:dyDescent="0.25">
      <c r="A58" s="39"/>
      <c r="B58" s="597"/>
      <c r="C58" s="597"/>
      <c r="D58" s="597"/>
      <c r="E58" s="597"/>
      <c r="F58" s="597"/>
      <c r="G58" s="597"/>
      <c r="H58" s="597"/>
      <c r="I58" s="597"/>
      <c r="J58" s="597"/>
      <c r="K58" s="597"/>
      <c r="L58" s="597"/>
      <c r="M58" s="252"/>
      <c r="N58" s="182"/>
      <c r="O58" s="182"/>
      <c r="P58" s="182"/>
      <c r="Q58" s="182"/>
      <c r="R58" s="182"/>
      <c r="S58" s="10"/>
    </row>
    <row r="59" spans="1:20" s="41" customFormat="1" ht="13.8" x14ac:dyDescent="0.25">
      <c r="A59" s="39"/>
      <c r="B59" s="597"/>
      <c r="C59" s="597"/>
      <c r="D59" s="597"/>
      <c r="E59" s="597"/>
      <c r="F59" s="597"/>
      <c r="G59" s="597"/>
      <c r="H59" s="597"/>
      <c r="I59" s="597"/>
      <c r="J59" s="597"/>
      <c r="K59" s="597"/>
      <c r="L59" s="597"/>
      <c r="M59" s="252"/>
      <c r="N59" s="182"/>
      <c r="O59" s="182"/>
      <c r="P59" s="182"/>
      <c r="Q59" s="182"/>
      <c r="R59" s="182"/>
      <c r="S59" s="10"/>
    </row>
    <row r="60" spans="1:20" s="41" customFormat="1" ht="13.8" x14ac:dyDescent="0.25">
      <c r="A60" s="39"/>
      <c r="B60" s="597"/>
      <c r="C60" s="597"/>
      <c r="D60" s="597"/>
      <c r="E60" s="597"/>
      <c r="F60" s="597"/>
      <c r="G60" s="597"/>
      <c r="H60" s="597"/>
      <c r="I60" s="597"/>
      <c r="J60" s="597"/>
      <c r="K60" s="597"/>
      <c r="L60" s="597"/>
      <c r="M60" s="252"/>
      <c r="N60" s="182"/>
      <c r="O60" s="182"/>
      <c r="P60" s="182"/>
      <c r="Q60" s="182"/>
      <c r="R60" s="182"/>
      <c r="S60" s="10"/>
    </row>
    <row r="61" spans="1:20" s="41" customFormat="1" ht="13.8" x14ac:dyDescent="0.25">
      <c r="A61" s="39"/>
      <c r="B61" s="597"/>
      <c r="C61" s="597"/>
      <c r="D61" s="597"/>
      <c r="E61" s="597"/>
      <c r="F61" s="597"/>
      <c r="G61" s="597"/>
      <c r="H61" s="597"/>
      <c r="I61" s="597"/>
      <c r="J61" s="597"/>
      <c r="K61" s="597"/>
      <c r="L61" s="597"/>
      <c r="M61" s="252"/>
      <c r="N61" s="182"/>
      <c r="O61" s="182"/>
      <c r="P61" s="182"/>
      <c r="Q61" s="182"/>
      <c r="R61" s="182"/>
      <c r="S61" s="10"/>
    </row>
    <row r="62" spans="1:20" s="41" customFormat="1" ht="13.8" x14ac:dyDescent="0.25">
      <c r="A62" s="39"/>
      <c r="B62" s="597"/>
      <c r="C62" s="597"/>
      <c r="D62" s="597"/>
      <c r="E62" s="597"/>
      <c r="F62" s="597"/>
      <c r="G62" s="597"/>
      <c r="H62" s="597"/>
      <c r="I62" s="597"/>
      <c r="J62" s="597"/>
      <c r="K62" s="597"/>
      <c r="L62" s="597"/>
      <c r="M62" s="252"/>
      <c r="N62" s="182"/>
      <c r="O62" s="182"/>
      <c r="P62" s="182"/>
      <c r="Q62" s="182"/>
      <c r="R62" s="182"/>
      <c r="S62" s="10"/>
    </row>
    <row r="63" spans="1:20" s="41" customFormat="1" ht="13.8" x14ac:dyDescent="0.25">
      <c r="A63" s="39"/>
      <c r="B63" s="597"/>
      <c r="C63" s="597"/>
      <c r="D63" s="597"/>
      <c r="E63" s="597"/>
      <c r="F63" s="597"/>
      <c r="G63" s="597"/>
      <c r="H63" s="597"/>
      <c r="I63" s="597"/>
      <c r="J63" s="597"/>
      <c r="K63" s="597"/>
      <c r="L63" s="597"/>
      <c r="M63" s="252"/>
      <c r="N63" s="182"/>
      <c r="O63" s="182"/>
      <c r="P63" s="182"/>
      <c r="Q63" s="182"/>
      <c r="R63" s="182"/>
      <c r="S63" s="10"/>
    </row>
    <row r="64" spans="1:20" s="41" customFormat="1" ht="6.75" customHeight="1" x14ac:dyDescent="0.25">
      <c r="A64" s="44"/>
      <c r="B64" s="44"/>
      <c r="C64" s="44"/>
      <c r="D64" s="44"/>
      <c r="E64" s="44"/>
      <c r="F64" s="44"/>
      <c r="G64" s="44"/>
      <c r="H64" s="45"/>
      <c r="I64" s="45"/>
      <c r="J64" s="46"/>
      <c r="K64" s="47"/>
      <c r="L64" s="47"/>
      <c r="M64" s="47"/>
      <c r="N64" s="62"/>
      <c r="O64" s="177"/>
      <c r="P64" s="36"/>
      <c r="Q64" s="36"/>
      <c r="R64" s="36"/>
      <c r="S64" s="178"/>
      <c r="T64" s="62"/>
    </row>
    <row r="65" spans="1:23" s="41" customFormat="1" ht="13.8" x14ac:dyDescent="0.25">
      <c r="A65" s="43"/>
      <c r="B65" s="48" t="s">
        <v>26</v>
      </c>
      <c r="D65" s="42"/>
      <c r="E65" s="42"/>
      <c r="F65" s="42"/>
      <c r="G65" s="42"/>
      <c r="H65" s="49"/>
      <c r="I65" s="50"/>
      <c r="J65" s="51"/>
      <c r="K65" s="51"/>
      <c r="O65" s="15"/>
      <c r="P65" s="12"/>
      <c r="Q65" s="12"/>
      <c r="R65" s="12"/>
      <c r="S65" s="37"/>
    </row>
    <row r="66" spans="1:23" s="41" customFormat="1" ht="13.8" x14ac:dyDescent="0.25">
      <c r="A66" s="43"/>
      <c r="B66" s="52"/>
      <c r="D66" s="42"/>
      <c r="E66" s="42"/>
      <c r="F66" s="42"/>
      <c r="G66" s="42"/>
      <c r="H66" s="53"/>
      <c r="I66" s="53" t="s">
        <v>27</v>
      </c>
      <c r="J66" s="42"/>
      <c r="L66" s="54" t="s">
        <v>28</v>
      </c>
      <c r="O66" s="15"/>
      <c r="P66" s="12"/>
      <c r="Q66" s="12"/>
      <c r="R66" s="12"/>
      <c r="S66" s="37"/>
    </row>
    <row r="67" spans="1:23" s="41" customFormat="1" ht="13.8" x14ac:dyDescent="0.25">
      <c r="A67" s="43"/>
      <c r="B67" s="180" t="s">
        <v>29</v>
      </c>
      <c r="C67" s="271" t="s">
        <v>292</v>
      </c>
      <c r="D67" s="271"/>
      <c r="E67" s="271"/>
      <c r="F67" s="271"/>
      <c r="G67" s="271"/>
      <c r="H67" s="289"/>
      <c r="I67" s="304" t="s">
        <v>2</v>
      </c>
      <c r="J67" s="289"/>
      <c r="K67" s="289"/>
      <c r="L67" s="272">
        <v>478000</v>
      </c>
      <c r="M67" s="331"/>
      <c r="N67" s="331"/>
      <c r="Q67" s="181"/>
      <c r="R67" s="40"/>
      <c r="S67" s="40"/>
    </row>
    <row r="68" spans="1:23" s="41" customFormat="1" ht="13.8" x14ac:dyDescent="0.25">
      <c r="A68" s="43"/>
      <c r="B68" s="180" t="s">
        <v>30</v>
      </c>
      <c r="C68" s="271" t="s">
        <v>293</v>
      </c>
      <c r="D68" s="275"/>
      <c r="E68" s="213"/>
      <c r="F68" s="213"/>
      <c r="G68" s="213"/>
      <c r="H68" s="274"/>
      <c r="I68" s="489" t="s">
        <v>19</v>
      </c>
      <c r="J68" s="289"/>
      <c r="K68" s="274"/>
      <c r="L68" s="273">
        <v>-11000</v>
      </c>
      <c r="M68" s="331"/>
      <c r="N68" s="331"/>
      <c r="Q68" s="58"/>
      <c r="R68" s="40"/>
      <c r="S68" s="40"/>
    </row>
    <row r="69" spans="1:23" s="41" customFormat="1" ht="13.8" x14ac:dyDescent="0.25">
      <c r="A69" s="43"/>
      <c r="B69" s="180" t="s">
        <v>31</v>
      </c>
      <c r="C69" s="271" t="s">
        <v>294</v>
      </c>
      <c r="D69" s="275"/>
      <c r="E69" s="213"/>
      <c r="F69" s="213"/>
      <c r="G69" s="213"/>
      <c r="H69" s="289"/>
      <c r="I69" s="480" t="s">
        <v>17</v>
      </c>
      <c r="J69" s="289"/>
      <c r="K69" s="289"/>
      <c r="L69" s="273">
        <v>-52000</v>
      </c>
      <c r="M69" s="331"/>
      <c r="N69" s="331"/>
      <c r="Q69" s="58"/>
      <c r="R69" s="40"/>
      <c r="S69" s="40"/>
    </row>
    <row r="70" spans="1:23" s="41" customFormat="1" ht="13.8" x14ac:dyDescent="0.25">
      <c r="A70" s="43"/>
      <c r="B70" s="180" t="s">
        <v>32</v>
      </c>
      <c r="C70" s="271" t="s">
        <v>295</v>
      </c>
      <c r="D70" s="271"/>
      <c r="E70" s="271"/>
      <c r="F70" s="271"/>
      <c r="G70" s="271"/>
      <c r="H70" s="274"/>
      <c r="I70" s="304" t="s">
        <v>16</v>
      </c>
      <c r="J70" s="289"/>
      <c r="K70" s="274"/>
      <c r="L70" s="273">
        <v>-183000</v>
      </c>
      <c r="M70" s="331"/>
      <c r="N70" s="331"/>
      <c r="Q70" s="58"/>
      <c r="R70" s="40"/>
      <c r="S70" s="40"/>
    </row>
    <row r="71" spans="1:23" s="41" customFormat="1" ht="13.8" x14ac:dyDescent="0.25">
      <c r="A71" s="43"/>
      <c r="B71" s="180" t="s">
        <v>33</v>
      </c>
      <c r="C71" s="271" t="s">
        <v>296</v>
      </c>
      <c r="D71" s="271"/>
      <c r="E71" s="271"/>
      <c r="F71" s="271"/>
      <c r="G71" s="271"/>
      <c r="H71" s="289"/>
      <c r="I71" s="304" t="s">
        <v>19</v>
      </c>
      <c r="J71" s="289"/>
      <c r="K71" s="289"/>
      <c r="L71" s="273">
        <v>-255000</v>
      </c>
      <c r="M71" s="331"/>
      <c r="N71" s="331"/>
      <c r="Q71" s="181"/>
      <c r="R71" s="40"/>
      <c r="S71" s="40"/>
    </row>
    <row r="72" spans="1:23" s="41" customFormat="1" ht="13.8" hidden="1" x14ac:dyDescent="0.25">
      <c r="A72" s="43"/>
      <c r="B72" s="180" t="s">
        <v>181</v>
      </c>
      <c r="C72" s="271"/>
      <c r="D72" s="275"/>
      <c r="E72" s="213"/>
      <c r="F72" s="213"/>
      <c r="G72" s="213"/>
      <c r="H72" s="274"/>
      <c r="I72" s="287"/>
      <c r="J72" s="289"/>
      <c r="K72" s="274"/>
      <c r="L72" s="273"/>
      <c r="M72" s="331"/>
      <c r="N72" s="331"/>
      <c r="Q72" s="58"/>
      <c r="R72" s="40"/>
      <c r="S72" s="40"/>
    </row>
    <row r="73" spans="1:23" s="41" customFormat="1" ht="13.8" hidden="1" x14ac:dyDescent="0.25">
      <c r="A73" s="43"/>
      <c r="B73" s="180" t="s">
        <v>182</v>
      </c>
      <c r="C73" s="271"/>
      <c r="D73" s="271"/>
      <c r="E73" s="271"/>
      <c r="F73" s="271"/>
      <c r="G73" s="271"/>
      <c r="H73" s="274"/>
      <c r="I73" s="287"/>
      <c r="J73" s="289"/>
      <c r="K73" s="271"/>
      <c r="L73" s="273"/>
      <c r="M73" s="331"/>
      <c r="N73" s="331"/>
      <c r="Q73" s="181"/>
      <c r="R73" s="40"/>
      <c r="S73" s="40"/>
    </row>
    <row r="74" spans="1:23" s="41" customFormat="1" ht="13.8" hidden="1" x14ac:dyDescent="0.25">
      <c r="A74" s="43"/>
      <c r="B74" s="180" t="s">
        <v>183</v>
      </c>
      <c r="C74" s="271"/>
      <c r="D74" s="275"/>
      <c r="E74" s="213"/>
      <c r="F74" s="213"/>
      <c r="G74" s="213"/>
      <c r="H74" s="274"/>
      <c r="I74" s="287"/>
      <c r="J74" s="289"/>
      <c r="K74" s="274"/>
      <c r="L74" s="273"/>
      <c r="M74" s="331"/>
      <c r="N74" s="331"/>
      <c r="Q74" s="181"/>
      <c r="R74" s="40"/>
      <c r="S74" s="40"/>
    </row>
    <row r="75" spans="1:23" s="62" customFormat="1" ht="14.4" thickBot="1" x14ac:dyDescent="0.3">
      <c r="A75" s="60"/>
      <c r="B75" s="61" t="s">
        <v>184</v>
      </c>
      <c r="E75" s="52"/>
      <c r="F75" s="52"/>
      <c r="G75" s="63"/>
      <c r="H75" s="51"/>
      <c r="I75" s="63"/>
      <c r="J75" s="42"/>
      <c r="L75" s="64">
        <f>SUM(L67:L74)</f>
        <v>-23000</v>
      </c>
      <c r="M75" s="41"/>
      <c r="N75" s="41"/>
      <c r="O75" s="43"/>
      <c r="P75" s="41"/>
      <c r="Q75" s="41"/>
      <c r="R75" s="41"/>
      <c r="S75" s="40"/>
    </row>
    <row r="76" spans="1:23" s="41" customFormat="1" ht="4.5" customHeight="1" thickTop="1" x14ac:dyDescent="0.25">
      <c r="A76" s="65"/>
      <c r="B76" s="66"/>
      <c r="C76" s="66"/>
      <c r="D76" s="66"/>
      <c r="E76" s="66"/>
      <c r="F76" s="66"/>
      <c r="G76" s="66"/>
      <c r="H76" s="66"/>
      <c r="I76" s="66"/>
      <c r="J76" s="67"/>
      <c r="K76" s="67"/>
      <c r="L76" s="47"/>
      <c r="M76" s="47"/>
      <c r="O76" s="43"/>
      <c r="W76" s="40"/>
    </row>
    <row r="77" spans="1:23" s="41" customFormat="1" ht="3.75" customHeight="1" x14ac:dyDescent="0.25">
      <c r="A77" s="39"/>
      <c r="B77" s="68"/>
      <c r="C77" s="68"/>
      <c r="D77" s="68"/>
      <c r="E77" s="68"/>
      <c r="F77" s="68"/>
      <c r="G77" s="68"/>
      <c r="H77" s="68"/>
      <c r="I77" s="68"/>
      <c r="J77" s="69"/>
      <c r="K77" s="69"/>
      <c r="O77" s="43"/>
      <c r="W77" s="40"/>
    </row>
    <row r="78" spans="1:23" s="41" customFormat="1" ht="13.8" x14ac:dyDescent="0.25">
      <c r="A78" s="43"/>
      <c r="B78" s="6" t="s">
        <v>34</v>
      </c>
      <c r="C78" s="70"/>
      <c r="D78" s="70"/>
      <c r="E78" s="70"/>
      <c r="F78" s="70"/>
      <c r="G78" s="70"/>
      <c r="H78" s="70"/>
      <c r="I78" s="70"/>
      <c r="J78" s="89"/>
      <c r="K78" s="89"/>
      <c r="O78" s="43"/>
      <c r="W78" s="40"/>
    </row>
    <row r="79" spans="1:23" s="41" customFormat="1" ht="13.8" x14ac:dyDescent="0.25">
      <c r="A79" s="43"/>
      <c r="B79" s="572" t="s">
        <v>303</v>
      </c>
      <c r="C79" s="578"/>
      <c r="D79" s="578"/>
      <c r="E79" s="578"/>
      <c r="F79" s="578"/>
      <c r="G79" s="578"/>
      <c r="H79" s="578"/>
      <c r="I79" s="578"/>
      <c r="J79" s="578"/>
      <c r="K79" s="578"/>
      <c r="L79" s="578"/>
      <c r="O79" s="43"/>
      <c r="W79" s="40"/>
    </row>
    <row r="80" spans="1:23" s="41" customFormat="1" ht="13.8" x14ac:dyDescent="0.25">
      <c r="A80" s="43"/>
      <c r="B80" s="578"/>
      <c r="C80" s="578"/>
      <c r="D80" s="578"/>
      <c r="E80" s="578"/>
      <c r="F80" s="578"/>
      <c r="G80" s="578"/>
      <c r="H80" s="578"/>
      <c r="I80" s="578"/>
      <c r="J80" s="578"/>
      <c r="K80" s="578"/>
      <c r="L80" s="578"/>
      <c r="O80" s="43"/>
      <c r="W80" s="40"/>
    </row>
    <row r="81" spans="1:23" s="41" customFormat="1" ht="13.8" x14ac:dyDescent="0.25">
      <c r="A81" s="43"/>
      <c r="B81" s="578"/>
      <c r="C81" s="578"/>
      <c r="D81" s="578"/>
      <c r="E81" s="578"/>
      <c r="F81" s="578"/>
      <c r="G81" s="578"/>
      <c r="H81" s="578"/>
      <c r="I81" s="578"/>
      <c r="J81" s="578"/>
      <c r="K81" s="578"/>
      <c r="L81" s="578"/>
      <c r="O81" s="43"/>
      <c r="W81" s="40"/>
    </row>
    <row r="82" spans="1:23" s="41" customFormat="1" ht="13.8" hidden="1" x14ac:dyDescent="0.25">
      <c r="A82" s="43"/>
      <c r="B82" s="578"/>
      <c r="C82" s="578"/>
      <c r="D82" s="578"/>
      <c r="E82" s="578"/>
      <c r="F82" s="578"/>
      <c r="G82" s="578"/>
      <c r="H82" s="578"/>
      <c r="I82" s="578"/>
      <c r="J82" s="578"/>
      <c r="K82" s="578"/>
      <c r="L82" s="578"/>
      <c r="O82" s="43"/>
      <c r="W82" s="40"/>
    </row>
    <row r="83" spans="1:23" s="41" customFormat="1" ht="13.8" hidden="1" x14ac:dyDescent="0.25">
      <c r="A83" s="43"/>
      <c r="B83" s="578"/>
      <c r="C83" s="578"/>
      <c r="D83" s="578"/>
      <c r="E83" s="578"/>
      <c r="F83" s="578"/>
      <c r="G83" s="578"/>
      <c r="H83" s="578"/>
      <c r="I83" s="578"/>
      <c r="J83" s="578"/>
      <c r="K83" s="578"/>
      <c r="L83" s="578"/>
      <c r="O83" s="43"/>
      <c r="W83" s="40"/>
    </row>
    <row r="84" spans="1:23" s="41" customFormat="1" ht="13.8" hidden="1" x14ac:dyDescent="0.25">
      <c r="A84" s="43"/>
      <c r="B84" s="578"/>
      <c r="C84" s="578"/>
      <c r="D84" s="578"/>
      <c r="E84" s="578"/>
      <c r="F84" s="578"/>
      <c r="G84" s="578"/>
      <c r="H84" s="578"/>
      <c r="I84" s="578"/>
      <c r="J84" s="578"/>
      <c r="K84" s="578"/>
      <c r="L84" s="578"/>
      <c r="O84" s="43"/>
      <c r="W84" s="40"/>
    </row>
    <row r="85" spans="1:23" s="41" customFormat="1" ht="13.8" hidden="1" x14ac:dyDescent="0.25">
      <c r="A85" s="43"/>
      <c r="B85" s="578"/>
      <c r="C85" s="578"/>
      <c r="D85" s="578"/>
      <c r="E85" s="578"/>
      <c r="F85" s="578"/>
      <c r="G85" s="578"/>
      <c r="H85" s="578"/>
      <c r="I85" s="578"/>
      <c r="J85" s="578"/>
      <c r="K85" s="578"/>
      <c r="L85" s="578"/>
      <c r="O85" s="43"/>
      <c r="W85" s="40"/>
    </row>
    <row r="86" spans="1:23" s="41" customFormat="1" ht="13.8" hidden="1" x14ac:dyDescent="0.25">
      <c r="A86" s="43"/>
      <c r="B86" s="578"/>
      <c r="C86" s="578"/>
      <c r="D86" s="578"/>
      <c r="E86" s="578"/>
      <c r="F86" s="578"/>
      <c r="G86" s="578"/>
      <c r="H86" s="578"/>
      <c r="I86" s="578"/>
      <c r="J86" s="578"/>
      <c r="K86" s="578"/>
      <c r="L86" s="578"/>
      <c r="O86" s="43"/>
      <c r="W86" s="40"/>
    </row>
    <row r="87" spans="1:23" s="41" customFormat="1" ht="13.8" x14ac:dyDescent="0.25">
      <c r="A87" s="43"/>
      <c r="B87" s="578"/>
      <c r="C87" s="578"/>
      <c r="D87" s="578"/>
      <c r="E87" s="578"/>
      <c r="F87" s="578"/>
      <c r="G87" s="578"/>
      <c r="H87" s="578"/>
      <c r="I87" s="578"/>
      <c r="J87" s="578"/>
      <c r="K87" s="578"/>
      <c r="L87" s="578"/>
      <c r="O87" s="43"/>
      <c r="W87" s="40"/>
    </row>
    <row r="88" spans="1:23" s="41" customFormat="1" ht="8.25" customHeight="1" thickBot="1" x14ac:dyDescent="0.3">
      <c r="A88" s="77"/>
      <c r="B88" s="78"/>
      <c r="C88" s="78"/>
      <c r="D88" s="78"/>
      <c r="E88" s="78"/>
      <c r="F88" s="78"/>
      <c r="G88" s="78"/>
      <c r="H88" s="78"/>
      <c r="I88" s="78"/>
      <c r="J88" s="79"/>
      <c r="K88" s="79"/>
      <c r="L88" s="80"/>
      <c r="M88" s="80"/>
      <c r="O88" s="43"/>
      <c r="W88" s="40"/>
    </row>
    <row r="89" spans="1:23" s="41" customFormat="1" ht="6.75" customHeight="1" x14ac:dyDescent="0.25">
      <c r="A89" s="39"/>
      <c r="B89" s="68"/>
      <c r="C89" s="68"/>
      <c r="D89" s="68"/>
      <c r="E89" s="68"/>
      <c r="F89" s="68"/>
      <c r="G89" s="68"/>
      <c r="H89" s="68"/>
      <c r="I89" s="68"/>
      <c r="J89" s="69"/>
      <c r="K89" s="69"/>
      <c r="O89" s="43"/>
      <c r="W89" s="40"/>
    </row>
    <row r="90" spans="1:23" ht="13.8" x14ac:dyDescent="0.25">
      <c r="B90" s="48"/>
      <c r="L90" s="41"/>
      <c r="M90" s="41"/>
      <c r="N90" s="41"/>
      <c r="O90" s="43"/>
      <c r="P90" s="41"/>
      <c r="Q90" s="41"/>
      <c r="R90" s="41"/>
      <c r="S90" s="59"/>
    </row>
    <row r="91" spans="1:23" ht="11.25" customHeight="1" x14ac:dyDescent="0.25">
      <c r="B91" s="48"/>
      <c r="L91" s="41"/>
      <c r="M91" s="41"/>
      <c r="N91" s="41"/>
      <c r="O91" s="43"/>
      <c r="P91" s="41"/>
      <c r="Q91" s="41"/>
      <c r="R91" s="41"/>
      <c r="S91" s="59"/>
    </row>
    <row r="92" spans="1:23" ht="13.8" x14ac:dyDescent="0.25">
      <c r="L92" s="41"/>
      <c r="M92" s="41"/>
      <c r="N92" s="41"/>
      <c r="O92" s="43"/>
      <c r="P92" s="41"/>
      <c r="Q92" s="41"/>
      <c r="R92" s="41"/>
      <c r="S92" s="40"/>
    </row>
    <row r="93" spans="1:23" ht="13.8" x14ac:dyDescent="0.25">
      <c r="L93" s="41"/>
      <c r="M93" s="41"/>
      <c r="N93" s="41"/>
      <c r="O93" s="43"/>
      <c r="P93" s="41"/>
      <c r="Q93" s="41"/>
      <c r="R93" s="41"/>
      <c r="S93" s="40"/>
    </row>
    <row r="94" spans="1:23" ht="13.8" x14ac:dyDescent="0.25">
      <c r="O94" s="41"/>
      <c r="P94" s="41"/>
      <c r="Q94" s="41"/>
      <c r="R94" s="41"/>
      <c r="S94" s="40"/>
    </row>
    <row r="95" spans="1:23" ht="13.8" x14ac:dyDescent="0.25">
      <c r="O95" s="41"/>
      <c r="P95" s="41"/>
      <c r="Q95" s="41"/>
      <c r="R95" s="41"/>
      <c r="S95" s="40"/>
    </row>
    <row r="96" spans="1:23" ht="13.8" x14ac:dyDescent="0.25">
      <c r="O96" s="41"/>
      <c r="P96" s="41"/>
      <c r="Q96" s="41"/>
      <c r="R96" s="41"/>
      <c r="S96" s="40"/>
    </row>
    <row r="97" spans="15:19" ht="15.6" x14ac:dyDescent="0.3">
      <c r="O97" s="71"/>
      <c r="P97" s="71"/>
      <c r="Q97" s="71"/>
      <c r="R97" s="71"/>
      <c r="S97" s="72"/>
    </row>
    <row r="98" spans="15:19" ht="15.6" x14ac:dyDescent="0.3">
      <c r="O98" s="71"/>
      <c r="P98" s="71"/>
      <c r="Q98" s="71"/>
      <c r="R98" s="71"/>
      <c r="S98" s="72"/>
    </row>
    <row r="99" spans="15:19" ht="15.6" x14ac:dyDescent="0.3">
      <c r="O99" s="71"/>
      <c r="P99" s="71"/>
      <c r="Q99" s="71"/>
      <c r="R99" s="71"/>
      <c r="S99" s="72"/>
    </row>
    <row r="100" spans="15:19" ht="15.6" x14ac:dyDescent="0.3">
      <c r="O100" s="71"/>
      <c r="P100" s="71"/>
      <c r="Q100" s="71"/>
      <c r="R100" s="71"/>
      <c r="S100" s="72"/>
    </row>
  </sheetData>
  <mergeCells count="2">
    <mergeCell ref="B23:L63"/>
    <mergeCell ref="B79:L87"/>
  </mergeCells>
  <dataValidations count="3">
    <dataValidation type="list" allowBlank="1" showInputMessage="1" showErrorMessage="1" sqref="H72:H74 H67:H70">
      <formula1>$U$4:$U$22</formula1>
    </dataValidation>
    <dataValidation type="list" allowBlank="1" showInputMessage="1" showErrorMessage="1" sqref="I67:I74">
      <formula1>$O$3:$O$21</formula1>
    </dataValidation>
    <dataValidation allowBlank="1" showErrorMessage="1" promptTitle="Do not change" sqref="B66"/>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W121"/>
  <sheetViews>
    <sheetView topLeftCell="A65"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173</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17550521</v>
      </c>
      <c r="F5" s="18">
        <v>17633739</v>
      </c>
      <c r="G5" s="18">
        <v>18919303</v>
      </c>
      <c r="I5" s="86" t="s">
        <v>38</v>
      </c>
      <c r="J5" s="73"/>
      <c r="K5" s="73"/>
      <c r="L5" s="73">
        <v>0</v>
      </c>
      <c r="O5" s="15" t="s">
        <v>4</v>
      </c>
      <c r="S5" s="10">
        <f t="shared" si="0"/>
        <v>-135000</v>
      </c>
    </row>
    <row r="6" spans="1:19" x14ac:dyDescent="0.25">
      <c r="B6" s="16" t="s">
        <v>7</v>
      </c>
      <c r="C6" s="17"/>
      <c r="D6" s="12"/>
      <c r="E6" s="18">
        <v>8782731</v>
      </c>
      <c r="F6" s="18">
        <v>9044667</v>
      </c>
      <c r="G6" s="18">
        <f>+G5-11868230</f>
        <v>7051073</v>
      </c>
      <c r="I6" s="87" t="s">
        <v>39</v>
      </c>
      <c r="J6" s="18">
        <v>-340000</v>
      </c>
      <c r="K6" s="18">
        <v>-150000</v>
      </c>
      <c r="L6" s="18">
        <v>-610000</v>
      </c>
      <c r="O6" s="15" t="s">
        <v>6</v>
      </c>
      <c r="S6" s="10">
        <f t="shared" si="0"/>
        <v>0</v>
      </c>
    </row>
    <row r="7" spans="1:19" x14ac:dyDescent="0.25">
      <c r="B7" s="21" t="s">
        <v>9</v>
      </c>
      <c r="C7" s="22"/>
      <c r="D7" s="23"/>
      <c r="E7" s="24">
        <v>8943328</v>
      </c>
      <c r="F7" s="24">
        <v>8494214</v>
      </c>
      <c r="G7" s="24">
        <f>G6-L6</f>
        <v>7661073</v>
      </c>
      <c r="I7" s="87" t="s">
        <v>40</v>
      </c>
      <c r="J7" s="18">
        <v>-230000</v>
      </c>
      <c r="K7" s="18">
        <v>-150000</v>
      </c>
      <c r="L7" s="18">
        <f>+L91</f>
        <v>-795000</v>
      </c>
      <c r="O7" s="15" t="s">
        <v>8</v>
      </c>
      <c r="P7" s="20"/>
      <c r="S7" s="10">
        <f t="shared" si="0"/>
        <v>0</v>
      </c>
    </row>
    <row r="8" spans="1:19" x14ac:dyDescent="0.25">
      <c r="B8" s="26" t="s">
        <v>11</v>
      </c>
      <c r="C8" s="27"/>
      <c r="D8" s="28"/>
      <c r="E8" s="29">
        <v>-160597</v>
      </c>
      <c r="F8" s="29">
        <v>550453</v>
      </c>
      <c r="G8" s="29">
        <f>G6-G7</f>
        <v>-610000</v>
      </c>
      <c r="I8" s="88" t="s">
        <v>43</v>
      </c>
      <c r="J8" s="74">
        <f>E8</f>
        <v>-160597</v>
      </c>
      <c r="K8" s="74">
        <f>F8</f>
        <v>550453</v>
      </c>
      <c r="L8" s="74"/>
      <c r="O8" s="15" t="s">
        <v>10</v>
      </c>
      <c r="P8" s="25"/>
      <c r="S8" s="10">
        <f t="shared" si="0"/>
        <v>0</v>
      </c>
    </row>
    <row r="9" spans="1:19" x14ac:dyDescent="0.25">
      <c r="B9" s="32" t="s">
        <v>37</v>
      </c>
      <c r="C9" s="33"/>
      <c r="D9" s="23"/>
      <c r="E9" s="34">
        <f>IF(ISERROR(IF(E8=0,"",(E8/$E$5))),"",(IF(E8=0,"",(E8/$E$5))))</f>
        <v>-9.1505545618845163E-3</v>
      </c>
      <c r="F9" s="34">
        <f>IF(ISERROR(IF(F8=0,"",(F8/$F$5))),"",(IF(F8=0,"",(F8/$F$5))))</f>
        <v>3.121589811440444E-2</v>
      </c>
      <c r="G9" s="34">
        <f>IF(ISERROR(IF(G8=0,"",(G8/$G$5))),"",(IF(G8=0,"",(G8/$G$5))))</f>
        <v>-3.2242202580084478E-2</v>
      </c>
      <c r="I9" s="83" t="s">
        <v>42</v>
      </c>
      <c r="O9" s="15" t="s">
        <v>12</v>
      </c>
      <c r="P9" s="30"/>
      <c r="Q9" s="19"/>
      <c r="R9" s="31"/>
      <c r="S9" s="10">
        <f t="shared" si="0"/>
        <v>-150000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-510000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-795000</v>
      </c>
    </row>
    <row r="23" spans="1:19" s="62" customFormat="1" ht="15" customHeight="1" x14ac:dyDescent="0.25">
      <c r="A23" s="68"/>
      <c r="B23" s="598" t="s">
        <v>425</v>
      </c>
      <c r="C23" s="598"/>
      <c r="D23" s="598"/>
      <c r="E23" s="598"/>
      <c r="F23" s="598"/>
      <c r="G23" s="598"/>
      <c r="H23" s="598"/>
      <c r="I23" s="598"/>
      <c r="J23" s="598"/>
      <c r="K23" s="598"/>
      <c r="L23" s="598"/>
      <c r="M23" s="176"/>
      <c r="O23" s="177"/>
      <c r="P23" s="36"/>
      <c r="Q23" s="36"/>
      <c r="R23" s="36"/>
      <c r="S23" s="178"/>
    </row>
    <row r="24" spans="1:19" s="62" customFormat="1" ht="13.8" x14ac:dyDescent="0.25">
      <c r="A24" s="68"/>
      <c r="B24" s="598"/>
      <c r="C24" s="598"/>
      <c r="D24" s="598"/>
      <c r="E24" s="598"/>
      <c r="F24" s="598"/>
      <c r="G24" s="598"/>
      <c r="H24" s="598"/>
      <c r="I24" s="598"/>
      <c r="J24" s="598"/>
      <c r="K24" s="598"/>
      <c r="L24" s="598"/>
      <c r="M24" s="176"/>
      <c r="O24" s="177"/>
      <c r="P24" s="36"/>
      <c r="Q24" s="36"/>
      <c r="R24" s="36"/>
      <c r="S24" s="178"/>
    </row>
    <row r="25" spans="1:19" s="62" customFormat="1" ht="13.8" x14ac:dyDescent="0.25">
      <c r="A25" s="68"/>
      <c r="B25" s="598"/>
      <c r="C25" s="598"/>
      <c r="D25" s="598"/>
      <c r="E25" s="598"/>
      <c r="F25" s="598"/>
      <c r="G25" s="598"/>
      <c r="H25" s="598"/>
      <c r="I25" s="598"/>
      <c r="J25" s="598"/>
      <c r="K25" s="598"/>
      <c r="L25" s="598"/>
      <c r="M25" s="176"/>
      <c r="O25" s="177"/>
      <c r="P25" s="36"/>
      <c r="Q25" s="36"/>
      <c r="R25" s="36"/>
      <c r="S25" s="178"/>
    </row>
    <row r="26" spans="1:19" s="62" customFormat="1" ht="13.8" x14ac:dyDescent="0.25">
      <c r="A26" s="68"/>
      <c r="B26" s="598"/>
      <c r="C26" s="598"/>
      <c r="D26" s="598"/>
      <c r="E26" s="598"/>
      <c r="F26" s="598"/>
      <c r="G26" s="598"/>
      <c r="H26" s="598"/>
      <c r="I26" s="598"/>
      <c r="J26" s="598"/>
      <c r="K26" s="598"/>
      <c r="L26" s="598"/>
      <c r="M26" s="176"/>
      <c r="O26" s="177"/>
      <c r="P26" s="36"/>
      <c r="Q26" s="36"/>
      <c r="R26" s="36"/>
      <c r="S26" s="178"/>
    </row>
    <row r="27" spans="1:19" s="62" customFormat="1" ht="13.8" x14ac:dyDescent="0.25">
      <c r="A27" s="68"/>
      <c r="B27" s="598"/>
      <c r="C27" s="598"/>
      <c r="D27" s="598"/>
      <c r="E27" s="598"/>
      <c r="F27" s="598"/>
      <c r="G27" s="598"/>
      <c r="H27" s="598"/>
      <c r="I27" s="598"/>
      <c r="J27" s="598"/>
      <c r="K27" s="598"/>
      <c r="L27" s="598"/>
      <c r="M27" s="176"/>
      <c r="O27" s="177"/>
      <c r="P27" s="36"/>
      <c r="Q27" s="36"/>
      <c r="R27" s="36"/>
      <c r="S27" s="178"/>
    </row>
    <row r="28" spans="1:19" s="62" customFormat="1" ht="13.8" x14ac:dyDescent="0.25">
      <c r="A28" s="68"/>
      <c r="B28" s="598"/>
      <c r="C28" s="598"/>
      <c r="D28" s="598"/>
      <c r="E28" s="598"/>
      <c r="F28" s="598"/>
      <c r="G28" s="598"/>
      <c r="H28" s="598"/>
      <c r="I28" s="598"/>
      <c r="J28" s="598"/>
      <c r="K28" s="598"/>
      <c r="L28" s="598"/>
      <c r="M28" s="176"/>
      <c r="O28" s="177"/>
      <c r="P28" s="36"/>
      <c r="Q28" s="36"/>
      <c r="R28" s="36"/>
      <c r="S28" s="178"/>
    </row>
    <row r="29" spans="1:19" s="62" customFormat="1" ht="13.8" x14ac:dyDescent="0.25">
      <c r="A29" s="68"/>
      <c r="B29" s="598"/>
      <c r="C29" s="598"/>
      <c r="D29" s="598"/>
      <c r="E29" s="598"/>
      <c r="F29" s="598"/>
      <c r="G29" s="598"/>
      <c r="H29" s="598"/>
      <c r="I29" s="598"/>
      <c r="J29" s="598"/>
      <c r="K29" s="598"/>
      <c r="L29" s="598"/>
      <c r="M29" s="176"/>
      <c r="O29" s="177"/>
      <c r="P29" s="36"/>
      <c r="Q29" s="36"/>
      <c r="R29" s="36"/>
      <c r="S29" s="178"/>
    </row>
    <row r="30" spans="1:19" s="62" customFormat="1" ht="13.8" x14ac:dyDescent="0.25">
      <c r="A30" s="68"/>
      <c r="B30" s="598"/>
      <c r="C30" s="598"/>
      <c r="D30" s="598"/>
      <c r="E30" s="598"/>
      <c r="F30" s="598"/>
      <c r="G30" s="598"/>
      <c r="H30" s="598"/>
      <c r="I30" s="598"/>
      <c r="J30" s="598"/>
      <c r="K30" s="598"/>
      <c r="L30" s="598"/>
      <c r="M30" s="176"/>
      <c r="O30" s="177"/>
      <c r="P30" s="36"/>
      <c r="Q30" s="36"/>
      <c r="R30" s="36"/>
      <c r="S30" s="178"/>
    </row>
    <row r="31" spans="1:19" s="62" customFormat="1" ht="13.8" x14ac:dyDescent="0.25">
      <c r="A31" s="68"/>
      <c r="B31" s="598"/>
      <c r="C31" s="598"/>
      <c r="D31" s="598"/>
      <c r="E31" s="598"/>
      <c r="F31" s="598"/>
      <c r="G31" s="598"/>
      <c r="H31" s="598"/>
      <c r="I31" s="598"/>
      <c r="J31" s="598"/>
      <c r="K31" s="598"/>
      <c r="L31" s="598"/>
      <c r="M31" s="176"/>
      <c r="O31" s="177"/>
      <c r="P31" s="36"/>
      <c r="Q31" s="36"/>
      <c r="R31" s="36"/>
      <c r="S31" s="178"/>
    </row>
    <row r="32" spans="1:19" s="62" customFormat="1" ht="13.8" x14ac:dyDescent="0.25">
      <c r="A32" s="68"/>
      <c r="B32" s="598"/>
      <c r="C32" s="598"/>
      <c r="D32" s="598"/>
      <c r="E32" s="598"/>
      <c r="F32" s="598"/>
      <c r="G32" s="598"/>
      <c r="H32" s="598"/>
      <c r="I32" s="598"/>
      <c r="J32" s="598"/>
      <c r="K32" s="598"/>
      <c r="L32" s="598"/>
      <c r="M32" s="176"/>
      <c r="O32" s="177"/>
      <c r="P32" s="470"/>
      <c r="Q32" s="36"/>
      <c r="R32" s="36"/>
      <c r="S32" s="178"/>
    </row>
    <row r="33" spans="1:19" s="41" customFormat="1" ht="10.5" customHeight="1" x14ac:dyDescent="0.25">
      <c r="A33" s="43"/>
      <c r="B33" s="505"/>
      <c r="C33" s="505"/>
      <c r="D33" s="505"/>
      <c r="E33" s="505"/>
      <c r="F33" s="505"/>
      <c r="G33" s="505"/>
      <c r="H33" s="505"/>
      <c r="I33" s="505"/>
      <c r="J33" s="505"/>
      <c r="K33" s="505"/>
      <c r="L33" s="505"/>
      <c r="O33" s="15"/>
      <c r="P33" s="12"/>
      <c r="Q33" s="12"/>
      <c r="R33" s="12"/>
      <c r="S33" s="37"/>
    </row>
    <row r="34" spans="1:19" s="41" customFormat="1" ht="15" customHeight="1" x14ac:dyDescent="0.25">
      <c r="A34" s="43"/>
      <c r="B34" s="599" t="s">
        <v>426</v>
      </c>
      <c r="C34" s="599"/>
      <c r="D34" s="599"/>
      <c r="E34" s="599"/>
      <c r="F34" s="599"/>
      <c r="G34" s="599"/>
      <c r="H34" s="599"/>
      <c r="I34" s="599"/>
      <c r="J34" s="599"/>
      <c r="K34" s="599"/>
      <c r="L34" s="599"/>
      <c r="O34" s="15"/>
      <c r="P34" s="12"/>
      <c r="Q34" s="12"/>
      <c r="R34" s="12"/>
      <c r="S34" s="37"/>
    </row>
    <row r="35" spans="1:19" s="41" customFormat="1" ht="13.8" x14ac:dyDescent="0.25">
      <c r="A35" s="43"/>
      <c r="B35" s="599"/>
      <c r="C35" s="599"/>
      <c r="D35" s="599"/>
      <c r="E35" s="599"/>
      <c r="F35" s="599"/>
      <c r="G35" s="599"/>
      <c r="H35" s="599"/>
      <c r="I35" s="599"/>
      <c r="J35" s="599"/>
      <c r="K35" s="599"/>
      <c r="L35" s="599"/>
      <c r="O35" s="15"/>
      <c r="P35" s="12"/>
      <c r="Q35" s="12"/>
      <c r="R35" s="12"/>
      <c r="S35" s="37"/>
    </row>
    <row r="36" spans="1:19" s="41" customFormat="1" ht="13.8" x14ac:dyDescent="0.25">
      <c r="A36" s="43"/>
      <c r="B36" s="599"/>
      <c r="C36" s="599"/>
      <c r="D36" s="599"/>
      <c r="E36" s="599"/>
      <c r="F36" s="599"/>
      <c r="G36" s="599"/>
      <c r="H36" s="599"/>
      <c r="I36" s="599"/>
      <c r="J36" s="599"/>
      <c r="K36" s="599"/>
      <c r="L36" s="599"/>
      <c r="O36" s="15"/>
      <c r="P36" s="12"/>
      <c r="Q36" s="12"/>
      <c r="R36" s="12"/>
      <c r="S36" s="37"/>
    </row>
    <row r="37" spans="1:19" s="41" customFormat="1" ht="13.8" x14ac:dyDescent="0.25">
      <c r="A37" s="43"/>
      <c r="B37" s="599"/>
      <c r="C37" s="599"/>
      <c r="D37" s="599"/>
      <c r="E37" s="599"/>
      <c r="F37" s="599"/>
      <c r="G37" s="599"/>
      <c r="H37" s="599"/>
      <c r="I37" s="599"/>
      <c r="J37" s="599"/>
      <c r="K37" s="599"/>
      <c r="L37" s="599"/>
      <c r="O37" s="15"/>
      <c r="P37" s="12"/>
      <c r="Q37" s="12"/>
      <c r="R37" s="12"/>
      <c r="S37" s="37"/>
    </row>
    <row r="38" spans="1:19" s="41" customFormat="1" ht="13.8" x14ac:dyDescent="0.25">
      <c r="A38" s="43"/>
      <c r="B38" s="599"/>
      <c r="C38" s="599"/>
      <c r="D38" s="599"/>
      <c r="E38" s="599"/>
      <c r="F38" s="599"/>
      <c r="G38" s="599"/>
      <c r="H38" s="599"/>
      <c r="I38" s="599"/>
      <c r="J38" s="599"/>
      <c r="K38" s="599"/>
      <c r="L38" s="599"/>
      <c r="O38" s="15"/>
      <c r="P38" s="12"/>
      <c r="Q38" s="12"/>
      <c r="R38" s="12"/>
      <c r="S38" s="37"/>
    </row>
    <row r="39" spans="1:19" s="41" customFormat="1" ht="9.75" customHeight="1" x14ac:dyDescent="0.25">
      <c r="A39" s="43"/>
      <c r="B39" s="505"/>
      <c r="C39" s="505"/>
      <c r="D39" s="505"/>
      <c r="E39" s="505"/>
      <c r="F39" s="505"/>
      <c r="G39" s="505"/>
      <c r="H39" s="505"/>
      <c r="I39" s="505"/>
      <c r="J39" s="505"/>
      <c r="K39" s="505"/>
      <c r="L39" s="505"/>
      <c r="O39" s="15"/>
      <c r="P39" s="12"/>
      <c r="Q39" s="12"/>
      <c r="R39" s="12"/>
      <c r="S39" s="37"/>
    </row>
    <row r="40" spans="1:19" s="41" customFormat="1" ht="13.8" x14ac:dyDescent="0.25">
      <c r="A40" s="43"/>
      <c r="B40" s="598" t="s">
        <v>416</v>
      </c>
      <c r="C40" s="598"/>
      <c r="D40" s="598"/>
      <c r="E40" s="598"/>
      <c r="F40" s="598"/>
      <c r="G40" s="598"/>
      <c r="H40" s="598"/>
      <c r="I40" s="598"/>
      <c r="J40" s="598"/>
      <c r="K40" s="598"/>
      <c r="L40" s="598"/>
      <c r="O40" s="15"/>
      <c r="P40" s="12"/>
      <c r="Q40" s="12"/>
      <c r="R40" s="12"/>
      <c r="S40" s="37"/>
    </row>
    <row r="41" spans="1:19" s="41" customFormat="1" ht="13.8" x14ac:dyDescent="0.25">
      <c r="A41" s="43"/>
      <c r="B41" s="598"/>
      <c r="C41" s="598"/>
      <c r="D41" s="598"/>
      <c r="E41" s="598"/>
      <c r="F41" s="598"/>
      <c r="G41" s="598"/>
      <c r="H41" s="598"/>
      <c r="I41" s="598"/>
      <c r="J41" s="598"/>
      <c r="K41" s="598"/>
      <c r="L41" s="598"/>
      <c r="O41" s="15"/>
      <c r="P41" s="12"/>
      <c r="Q41" s="12"/>
      <c r="R41" s="12"/>
      <c r="S41" s="37"/>
    </row>
    <row r="42" spans="1:19" s="41" customFormat="1" ht="13.8" x14ac:dyDescent="0.25">
      <c r="A42" s="43"/>
      <c r="B42" s="598"/>
      <c r="C42" s="598"/>
      <c r="D42" s="598"/>
      <c r="E42" s="598"/>
      <c r="F42" s="598"/>
      <c r="G42" s="598"/>
      <c r="H42" s="598"/>
      <c r="I42" s="598"/>
      <c r="J42" s="598"/>
      <c r="K42" s="598"/>
      <c r="L42" s="598"/>
      <c r="O42" s="15"/>
      <c r="P42" s="12"/>
      <c r="Q42" s="12"/>
      <c r="R42" s="12"/>
      <c r="S42" s="37"/>
    </row>
    <row r="43" spans="1:19" s="41" customFormat="1" ht="13.8" x14ac:dyDescent="0.25">
      <c r="A43" s="43"/>
      <c r="B43" s="598"/>
      <c r="C43" s="598"/>
      <c r="D43" s="598"/>
      <c r="E43" s="598"/>
      <c r="F43" s="598"/>
      <c r="G43" s="598"/>
      <c r="H43" s="598"/>
      <c r="I43" s="598"/>
      <c r="J43" s="598"/>
      <c r="K43" s="598"/>
      <c r="L43" s="598"/>
      <c r="O43" s="15"/>
      <c r="P43" s="12"/>
      <c r="Q43" s="12"/>
      <c r="R43" s="12"/>
      <c r="S43" s="37"/>
    </row>
    <row r="44" spans="1:19" s="41" customFormat="1" ht="13.8" x14ac:dyDescent="0.25">
      <c r="A44" s="43"/>
      <c r="B44" s="598"/>
      <c r="C44" s="598"/>
      <c r="D44" s="598"/>
      <c r="E44" s="598"/>
      <c r="F44" s="598"/>
      <c r="G44" s="598"/>
      <c r="H44" s="598"/>
      <c r="I44" s="598"/>
      <c r="J44" s="598"/>
      <c r="K44" s="598"/>
      <c r="L44" s="598"/>
      <c r="O44" s="15"/>
      <c r="P44" s="12"/>
      <c r="Q44" s="12"/>
      <c r="R44" s="12"/>
      <c r="S44" s="37"/>
    </row>
    <row r="45" spans="1:19" s="41" customFormat="1" ht="13.8" x14ac:dyDescent="0.25">
      <c r="A45" s="43"/>
      <c r="B45" s="598"/>
      <c r="C45" s="598"/>
      <c r="D45" s="598"/>
      <c r="E45" s="598"/>
      <c r="F45" s="598"/>
      <c r="G45" s="598"/>
      <c r="H45" s="598"/>
      <c r="I45" s="598"/>
      <c r="J45" s="598"/>
      <c r="K45" s="598"/>
      <c r="L45" s="598"/>
      <c r="O45" s="15"/>
      <c r="P45" s="12"/>
      <c r="Q45" s="12"/>
      <c r="R45" s="12"/>
      <c r="S45" s="37"/>
    </row>
    <row r="46" spans="1:19" s="41" customFormat="1" ht="13.8" x14ac:dyDescent="0.25">
      <c r="A46" s="43"/>
      <c r="B46" s="598"/>
      <c r="C46" s="598"/>
      <c r="D46" s="598"/>
      <c r="E46" s="598"/>
      <c r="F46" s="598"/>
      <c r="G46" s="598"/>
      <c r="H46" s="598"/>
      <c r="I46" s="598"/>
      <c r="J46" s="598"/>
      <c r="K46" s="598"/>
      <c r="L46" s="598"/>
      <c r="O46" s="15"/>
      <c r="P46" s="12"/>
      <c r="Q46" s="12"/>
      <c r="R46" s="12"/>
      <c r="S46" s="37"/>
    </row>
    <row r="47" spans="1:19" s="41" customFormat="1" ht="13.8" x14ac:dyDescent="0.25">
      <c r="A47" s="43"/>
      <c r="B47" s="598"/>
      <c r="C47" s="598"/>
      <c r="D47" s="598"/>
      <c r="E47" s="598"/>
      <c r="F47" s="598"/>
      <c r="G47" s="598"/>
      <c r="H47" s="598"/>
      <c r="I47" s="598"/>
      <c r="J47" s="598"/>
      <c r="K47" s="598"/>
      <c r="L47" s="598"/>
      <c r="O47" s="15"/>
      <c r="P47" s="12"/>
      <c r="Q47" s="12"/>
      <c r="R47" s="12"/>
      <c r="S47" s="37"/>
    </row>
    <row r="48" spans="1:19" s="41" customFormat="1" ht="13.8" x14ac:dyDescent="0.25">
      <c r="A48" s="43"/>
      <c r="B48" s="598"/>
      <c r="C48" s="598"/>
      <c r="D48" s="598"/>
      <c r="E48" s="598"/>
      <c r="F48" s="598"/>
      <c r="G48" s="598"/>
      <c r="H48" s="598"/>
      <c r="I48" s="598"/>
      <c r="J48" s="598"/>
      <c r="K48" s="598"/>
      <c r="L48" s="598"/>
      <c r="O48" s="15"/>
      <c r="P48" s="12"/>
      <c r="Q48" s="12"/>
      <c r="R48" s="12"/>
      <c r="S48" s="37"/>
    </row>
    <row r="49" spans="1:19" s="41" customFormat="1" ht="13.8" x14ac:dyDescent="0.25">
      <c r="A49" s="43"/>
      <c r="B49" s="598"/>
      <c r="C49" s="598"/>
      <c r="D49" s="598"/>
      <c r="E49" s="598"/>
      <c r="F49" s="598"/>
      <c r="G49" s="598"/>
      <c r="H49" s="598"/>
      <c r="I49" s="598"/>
      <c r="J49" s="598"/>
      <c r="K49" s="598"/>
      <c r="L49" s="598"/>
      <c r="O49" s="15"/>
      <c r="P49" s="12"/>
      <c r="Q49" s="12"/>
      <c r="R49" s="12"/>
      <c r="S49" s="37"/>
    </row>
    <row r="50" spans="1:19" s="41" customFormat="1" ht="13.8" x14ac:dyDescent="0.25">
      <c r="A50" s="43"/>
      <c r="B50" s="598"/>
      <c r="C50" s="598"/>
      <c r="D50" s="598"/>
      <c r="E50" s="598"/>
      <c r="F50" s="598"/>
      <c r="G50" s="598"/>
      <c r="H50" s="598"/>
      <c r="I50" s="598"/>
      <c r="J50" s="598"/>
      <c r="K50" s="598"/>
      <c r="L50" s="598"/>
      <c r="O50" s="15"/>
      <c r="P50" s="12"/>
      <c r="Q50" s="12"/>
      <c r="R50" s="12"/>
      <c r="S50" s="37"/>
    </row>
    <row r="51" spans="1:19" s="41" customFormat="1" ht="15" customHeight="1" x14ac:dyDescent="0.25">
      <c r="A51" s="43"/>
      <c r="B51" s="598" t="s">
        <v>428</v>
      </c>
      <c r="C51" s="598"/>
      <c r="D51" s="598"/>
      <c r="E51" s="598"/>
      <c r="F51" s="598"/>
      <c r="G51" s="598"/>
      <c r="H51" s="598"/>
      <c r="I51" s="598"/>
      <c r="J51" s="598"/>
      <c r="K51" s="598"/>
      <c r="L51" s="598"/>
      <c r="O51" s="15"/>
      <c r="P51" s="12"/>
      <c r="Q51" s="12"/>
      <c r="R51" s="12"/>
      <c r="S51" s="37"/>
    </row>
    <row r="52" spans="1:19" s="41" customFormat="1" ht="13.8" x14ac:dyDescent="0.25">
      <c r="A52" s="43"/>
      <c r="B52" s="598"/>
      <c r="C52" s="598"/>
      <c r="D52" s="598"/>
      <c r="E52" s="598"/>
      <c r="F52" s="598"/>
      <c r="G52" s="598"/>
      <c r="H52" s="598"/>
      <c r="I52" s="598"/>
      <c r="J52" s="598"/>
      <c r="K52" s="598"/>
      <c r="L52" s="598"/>
      <c r="O52" s="15"/>
      <c r="P52" s="12"/>
      <c r="Q52" s="12"/>
      <c r="R52" s="12"/>
      <c r="S52" s="37"/>
    </row>
    <row r="53" spans="1:19" s="41" customFormat="1" ht="13.8" x14ac:dyDescent="0.25">
      <c r="A53" s="43"/>
      <c r="B53" s="598"/>
      <c r="C53" s="598"/>
      <c r="D53" s="598"/>
      <c r="E53" s="598"/>
      <c r="F53" s="598"/>
      <c r="G53" s="598"/>
      <c r="H53" s="598"/>
      <c r="I53" s="598"/>
      <c r="J53" s="598"/>
      <c r="K53" s="598"/>
      <c r="L53" s="598"/>
      <c r="O53" s="15"/>
      <c r="P53" s="12"/>
      <c r="Q53" s="12"/>
      <c r="R53" s="12"/>
      <c r="S53" s="37"/>
    </row>
    <row r="54" spans="1:19" s="41" customFormat="1" ht="13.8" x14ac:dyDescent="0.25">
      <c r="A54" s="43"/>
      <c r="B54" s="598"/>
      <c r="C54" s="598"/>
      <c r="D54" s="598"/>
      <c r="E54" s="598"/>
      <c r="F54" s="598"/>
      <c r="G54" s="598"/>
      <c r="H54" s="598"/>
      <c r="I54" s="598"/>
      <c r="J54" s="598"/>
      <c r="K54" s="598"/>
      <c r="L54" s="598"/>
      <c r="O54" s="15"/>
      <c r="P54" s="12"/>
      <c r="Q54" s="12"/>
      <c r="R54" s="12"/>
      <c r="S54" s="37"/>
    </row>
    <row r="55" spans="1:19" s="41" customFormat="1" ht="13.8" x14ac:dyDescent="0.25">
      <c r="A55" s="43"/>
      <c r="B55" s="598"/>
      <c r="C55" s="598"/>
      <c r="D55" s="598"/>
      <c r="E55" s="598"/>
      <c r="F55" s="598"/>
      <c r="G55" s="598"/>
      <c r="H55" s="598"/>
      <c r="I55" s="598"/>
      <c r="J55" s="598"/>
      <c r="K55" s="598"/>
      <c r="L55" s="598"/>
      <c r="O55" s="15"/>
      <c r="P55" s="12"/>
      <c r="Q55" s="12"/>
      <c r="R55" s="12"/>
      <c r="S55" s="37"/>
    </row>
    <row r="56" spans="1:19" s="41" customFormat="1" ht="13.8" x14ac:dyDescent="0.25">
      <c r="A56" s="43"/>
      <c r="B56" s="598"/>
      <c r="C56" s="598"/>
      <c r="D56" s="598"/>
      <c r="E56" s="598"/>
      <c r="F56" s="598"/>
      <c r="G56" s="598"/>
      <c r="H56" s="598"/>
      <c r="I56" s="598"/>
      <c r="J56" s="598"/>
      <c r="K56" s="598"/>
      <c r="L56" s="598"/>
      <c r="O56" s="15"/>
      <c r="P56" s="12"/>
      <c r="Q56" s="12"/>
      <c r="R56" s="12"/>
      <c r="S56" s="37"/>
    </row>
    <row r="57" spans="1:19" s="41" customFormat="1" ht="13.8" x14ac:dyDescent="0.25">
      <c r="A57" s="43"/>
      <c r="B57" s="598"/>
      <c r="C57" s="598"/>
      <c r="D57" s="598"/>
      <c r="E57" s="598"/>
      <c r="F57" s="598"/>
      <c r="G57" s="598"/>
      <c r="H57" s="598"/>
      <c r="I57" s="598"/>
      <c r="J57" s="598"/>
      <c r="K57" s="598"/>
      <c r="L57" s="598"/>
      <c r="O57" s="15"/>
      <c r="P57" s="12"/>
      <c r="Q57" s="12"/>
      <c r="R57" s="12"/>
      <c r="S57" s="37"/>
    </row>
    <row r="58" spans="1:19" s="41" customFormat="1" ht="13.8" x14ac:dyDescent="0.25">
      <c r="A58" s="43"/>
      <c r="B58" s="598"/>
      <c r="C58" s="598"/>
      <c r="D58" s="598"/>
      <c r="E58" s="598"/>
      <c r="F58" s="598"/>
      <c r="G58" s="598"/>
      <c r="H58" s="598"/>
      <c r="I58" s="598"/>
      <c r="J58" s="598"/>
      <c r="K58" s="598"/>
      <c r="L58" s="598"/>
      <c r="O58" s="15"/>
      <c r="P58" s="12"/>
      <c r="Q58" s="12"/>
      <c r="R58" s="12"/>
      <c r="S58" s="37"/>
    </row>
    <row r="59" spans="1:19" s="41" customFormat="1" ht="13.8" x14ac:dyDescent="0.25">
      <c r="A59" s="43"/>
      <c r="B59" s="598"/>
      <c r="C59" s="598"/>
      <c r="D59" s="598"/>
      <c r="E59" s="598"/>
      <c r="F59" s="598"/>
      <c r="G59" s="598"/>
      <c r="H59" s="598"/>
      <c r="I59" s="598"/>
      <c r="J59" s="598"/>
      <c r="K59" s="598"/>
      <c r="L59" s="598"/>
      <c r="O59" s="15"/>
      <c r="P59" s="12"/>
      <c r="Q59" s="12"/>
      <c r="R59" s="12"/>
      <c r="S59" s="37"/>
    </row>
    <row r="60" spans="1:19" s="41" customFormat="1" ht="13.8" x14ac:dyDescent="0.25">
      <c r="A60" s="43"/>
      <c r="B60" s="598"/>
      <c r="C60" s="598"/>
      <c r="D60" s="598"/>
      <c r="E60" s="598"/>
      <c r="F60" s="598"/>
      <c r="G60" s="598"/>
      <c r="H60" s="598"/>
      <c r="I60" s="598"/>
      <c r="J60" s="598"/>
      <c r="K60" s="598"/>
      <c r="L60" s="598"/>
      <c r="O60" s="15"/>
      <c r="P60" s="12"/>
      <c r="Q60" s="12"/>
      <c r="R60" s="12"/>
      <c r="S60" s="37"/>
    </row>
    <row r="61" spans="1:19" s="41" customFormat="1" ht="13.8" x14ac:dyDescent="0.25">
      <c r="A61" s="43"/>
      <c r="B61" s="598"/>
      <c r="C61" s="598"/>
      <c r="D61" s="598"/>
      <c r="E61" s="598"/>
      <c r="F61" s="598"/>
      <c r="G61" s="598"/>
      <c r="H61" s="598"/>
      <c r="I61" s="598"/>
      <c r="J61" s="598"/>
      <c r="K61" s="598"/>
      <c r="L61" s="598"/>
      <c r="O61" s="15"/>
      <c r="P61" s="12"/>
      <c r="Q61" s="12"/>
      <c r="R61" s="12"/>
      <c r="S61" s="37"/>
    </row>
    <row r="62" spans="1:19" s="41" customFormat="1" ht="13.8" x14ac:dyDescent="0.25">
      <c r="A62" s="43"/>
      <c r="B62" s="598" t="s">
        <v>417</v>
      </c>
      <c r="C62" s="598"/>
      <c r="D62" s="598"/>
      <c r="E62" s="598"/>
      <c r="F62" s="598"/>
      <c r="G62" s="598"/>
      <c r="H62" s="598"/>
      <c r="I62" s="598"/>
      <c r="J62" s="598"/>
      <c r="K62" s="598"/>
      <c r="L62" s="598"/>
      <c r="O62" s="15"/>
      <c r="P62" s="12"/>
      <c r="Q62" s="12"/>
      <c r="R62" s="12"/>
      <c r="S62" s="37"/>
    </row>
    <row r="63" spans="1:19" s="41" customFormat="1" ht="13.8" x14ac:dyDescent="0.25">
      <c r="A63" s="43"/>
      <c r="B63" s="598"/>
      <c r="C63" s="598"/>
      <c r="D63" s="598"/>
      <c r="E63" s="598"/>
      <c r="F63" s="598"/>
      <c r="G63" s="598"/>
      <c r="H63" s="598"/>
      <c r="I63" s="598"/>
      <c r="J63" s="598"/>
      <c r="K63" s="598"/>
      <c r="L63" s="598"/>
      <c r="O63" s="15"/>
      <c r="P63" s="12"/>
      <c r="Q63" s="12"/>
      <c r="R63" s="12"/>
      <c r="S63" s="37"/>
    </row>
    <row r="64" spans="1:19" s="41" customFormat="1" ht="13.8" x14ac:dyDescent="0.25">
      <c r="A64" s="43"/>
      <c r="B64" s="598"/>
      <c r="C64" s="598"/>
      <c r="D64" s="598"/>
      <c r="E64" s="598"/>
      <c r="F64" s="598"/>
      <c r="G64" s="598"/>
      <c r="H64" s="598"/>
      <c r="I64" s="598"/>
      <c r="J64" s="598"/>
      <c r="K64" s="598"/>
      <c r="L64" s="598"/>
      <c r="O64" s="15"/>
      <c r="P64" s="12"/>
      <c r="Q64" s="12"/>
      <c r="R64" s="12"/>
      <c r="S64" s="37"/>
    </row>
    <row r="65" spans="1:19" s="41" customFormat="1" ht="13.8" x14ac:dyDescent="0.25">
      <c r="A65" s="43"/>
      <c r="B65" s="598"/>
      <c r="C65" s="598"/>
      <c r="D65" s="598"/>
      <c r="E65" s="598"/>
      <c r="F65" s="598"/>
      <c r="G65" s="598"/>
      <c r="H65" s="598"/>
      <c r="I65" s="598"/>
      <c r="J65" s="598"/>
      <c r="K65" s="598"/>
      <c r="L65" s="598"/>
      <c r="O65" s="15"/>
      <c r="P65" s="12"/>
      <c r="Q65" s="12"/>
      <c r="R65" s="12"/>
      <c r="S65" s="37"/>
    </row>
    <row r="66" spans="1:19" s="41" customFormat="1" ht="13.8" x14ac:dyDescent="0.25">
      <c r="A66" s="43"/>
      <c r="B66" s="598"/>
      <c r="C66" s="598"/>
      <c r="D66" s="598"/>
      <c r="E66" s="598"/>
      <c r="F66" s="598"/>
      <c r="G66" s="598"/>
      <c r="H66" s="598"/>
      <c r="I66" s="598"/>
      <c r="J66" s="598"/>
      <c r="K66" s="598"/>
      <c r="L66" s="598"/>
      <c r="O66" s="15"/>
      <c r="P66" s="12"/>
      <c r="Q66" s="12"/>
      <c r="R66" s="12"/>
      <c r="S66" s="37"/>
    </row>
    <row r="67" spans="1:19" s="41" customFormat="1" ht="13.8" x14ac:dyDescent="0.25">
      <c r="A67" s="43"/>
      <c r="B67" s="598"/>
      <c r="C67" s="598"/>
      <c r="D67" s="598"/>
      <c r="E67" s="598"/>
      <c r="F67" s="598"/>
      <c r="G67" s="598"/>
      <c r="H67" s="598"/>
      <c r="I67" s="598"/>
      <c r="J67" s="598"/>
      <c r="K67" s="598"/>
      <c r="L67" s="598"/>
      <c r="O67" s="15"/>
      <c r="P67" s="12"/>
      <c r="Q67" s="12"/>
      <c r="R67" s="12"/>
      <c r="S67" s="37"/>
    </row>
    <row r="68" spans="1:19" s="41" customFormat="1" ht="13.8" x14ac:dyDescent="0.25">
      <c r="A68" s="43"/>
      <c r="B68" s="598"/>
      <c r="C68" s="598"/>
      <c r="D68" s="598"/>
      <c r="E68" s="598"/>
      <c r="F68" s="598"/>
      <c r="G68" s="598"/>
      <c r="H68" s="598"/>
      <c r="I68" s="598"/>
      <c r="J68" s="598"/>
      <c r="K68" s="598"/>
      <c r="L68" s="598"/>
      <c r="O68" s="15"/>
      <c r="P68" s="12"/>
      <c r="Q68" s="12"/>
      <c r="R68" s="12"/>
      <c r="S68" s="37"/>
    </row>
    <row r="69" spans="1:19" s="41" customFormat="1" ht="13.8" x14ac:dyDescent="0.25">
      <c r="A69" s="43"/>
      <c r="B69" s="598"/>
      <c r="C69" s="598"/>
      <c r="D69" s="598"/>
      <c r="E69" s="598"/>
      <c r="F69" s="598"/>
      <c r="G69" s="598"/>
      <c r="H69" s="598"/>
      <c r="I69" s="598"/>
      <c r="J69" s="598"/>
      <c r="K69" s="598"/>
      <c r="L69" s="598"/>
      <c r="O69" s="15"/>
      <c r="P69" s="12"/>
      <c r="Q69" s="12"/>
      <c r="R69" s="12"/>
      <c r="S69" s="37"/>
    </row>
    <row r="70" spans="1:19" s="41" customFormat="1" ht="13.8" x14ac:dyDescent="0.25">
      <c r="A70" s="43"/>
      <c r="B70" s="598"/>
      <c r="C70" s="598"/>
      <c r="D70" s="598"/>
      <c r="E70" s="598"/>
      <c r="F70" s="598"/>
      <c r="G70" s="598"/>
      <c r="H70" s="598"/>
      <c r="I70" s="598"/>
      <c r="J70" s="598"/>
      <c r="K70" s="598"/>
      <c r="L70" s="598"/>
      <c r="O70" s="15"/>
      <c r="P70" s="12"/>
      <c r="Q70" s="12"/>
      <c r="R70" s="12"/>
      <c r="S70" s="37"/>
    </row>
    <row r="71" spans="1:19" s="41" customFormat="1" ht="13.8" x14ac:dyDescent="0.25">
      <c r="A71" s="43"/>
      <c r="B71" s="598"/>
      <c r="C71" s="598"/>
      <c r="D71" s="598"/>
      <c r="E71" s="598"/>
      <c r="F71" s="598"/>
      <c r="G71" s="598"/>
      <c r="H71" s="598"/>
      <c r="I71" s="598"/>
      <c r="J71" s="598"/>
      <c r="K71" s="598"/>
      <c r="L71" s="598"/>
      <c r="O71" s="15"/>
      <c r="P71" s="12"/>
      <c r="Q71" s="12"/>
      <c r="R71" s="12"/>
      <c r="S71" s="37"/>
    </row>
    <row r="72" spans="1:19" s="41" customFormat="1" ht="13.8" x14ac:dyDescent="0.25">
      <c r="A72" s="43"/>
      <c r="B72" s="598" t="s">
        <v>429</v>
      </c>
      <c r="C72" s="598"/>
      <c r="D72" s="598"/>
      <c r="E72" s="598"/>
      <c r="F72" s="598"/>
      <c r="G72" s="598"/>
      <c r="H72" s="598"/>
      <c r="I72" s="598"/>
      <c r="J72" s="598"/>
      <c r="K72" s="598"/>
      <c r="L72" s="598"/>
      <c r="O72" s="15"/>
      <c r="P72" s="12"/>
      <c r="Q72" s="12"/>
      <c r="R72" s="12"/>
      <c r="S72" s="37"/>
    </row>
    <row r="73" spans="1:19" s="41" customFormat="1" ht="14.25" customHeight="1" x14ac:dyDescent="0.25">
      <c r="A73" s="43"/>
      <c r="B73" s="598"/>
      <c r="C73" s="598"/>
      <c r="D73" s="598"/>
      <c r="E73" s="598"/>
      <c r="F73" s="598"/>
      <c r="G73" s="598"/>
      <c r="H73" s="598"/>
      <c r="I73" s="598"/>
      <c r="J73" s="598"/>
      <c r="K73" s="598"/>
      <c r="L73" s="598"/>
      <c r="O73" s="15"/>
      <c r="P73" s="12"/>
      <c r="Q73" s="12"/>
      <c r="R73" s="12"/>
      <c r="S73" s="37"/>
    </row>
    <row r="74" spans="1:19" s="41" customFormat="1" ht="13.8" x14ac:dyDescent="0.25">
      <c r="A74" s="43"/>
      <c r="B74" s="598"/>
      <c r="C74" s="598"/>
      <c r="D74" s="598"/>
      <c r="E74" s="598"/>
      <c r="F74" s="598"/>
      <c r="G74" s="598"/>
      <c r="H74" s="598"/>
      <c r="I74" s="598"/>
      <c r="J74" s="598"/>
      <c r="K74" s="598"/>
      <c r="L74" s="598"/>
      <c r="O74" s="15"/>
      <c r="P74" s="12"/>
      <c r="Q74" s="12"/>
      <c r="R74" s="12"/>
      <c r="S74" s="37"/>
    </row>
    <row r="75" spans="1:19" s="41" customFormat="1" ht="13.8" x14ac:dyDescent="0.25">
      <c r="A75" s="43"/>
      <c r="B75" s="598"/>
      <c r="C75" s="598"/>
      <c r="D75" s="598"/>
      <c r="E75" s="598"/>
      <c r="F75" s="598"/>
      <c r="G75" s="598"/>
      <c r="H75" s="598"/>
      <c r="I75" s="598"/>
      <c r="J75" s="598"/>
      <c r="K75" s="598"/>
      <c r="L75" s="598"/>
      <c r="O75" s="15"/>
      <c r="P75" s="12"/>
      <c r="Q75" s="12"/>
      <c r="R75" s="12"/>
      <c r="S75" s="37"/>
    </row>
    <row r="76" spans="1:19" s="41" customFormat="1" ht="13.8" x14ac:dyDescent="0.25">
      <c r="A76" s="43"/>
      <c r="B76" s="598"/>
      <c r="C76" s="598"/>
      <c r="D76" s="598"/>
      <c r="E76" s="598"/>
      <c r="F76" s="598"/>
      <c r="G76" s="598"/>
      <c r="H76" s="598"/>
      <c r="I76" s="598"/>
      <c r="J76" s="598"/>
      <c r="K76" s="598"/>
      <c r="L76" s="598"/>
      <c r="O76" s="15"/>
      <c r="P76" s="12"/>
      <c r="Q76" s="12"/>
      <c r="R76" s="12"/>
      <c r="S76" s="37"/>
    </row>
    <row r="77" spans="1:19" s="41" customFormat="1" ht="13.8" x14ac:dyDescent="0.25">
      <c r="A77" s="43"/>
      <c r="B77" s="598"/>
      <c r="C77" s="598"/>
      <c r="D77" s="598"/>
      <c r="E77" s="598"/>
      <c r="F77" s="598"/>
      <c r="G77" s="598"/>
      <c r="H77" s="598"/>
      <c r="I77" s="598"/>
      <c r="J77" s="598"/>
      <c r="K77" s="598"/>
      <c r="L77" s="598"/>
      <c r="O77" s="15"/>
      <c r="P77" s="12"/>
      <c r="Q77" s="12"/>
      <c r="R77" s="12"/>
      <c r="S77" s="37"/>
    </row>
    <row r="78" spans="1:19" s="41" customFormat="1" ht="13.8" x14ac:dyDescent="0.25">
      <c r="A78" s="43"/>
      <c r="B78" s="598"/>
      <c r="C78" s="598"/>
      <c r="D78" s="598"/>
      <c r="E78" s="598"/>
      <c r="F78" s="598"/>
      <c r="G78" s="598"/>
      <c r="H78" s="598"/>
      <c r="I78" s="598"/>
      <c r="J78" s="598"/>
      <c r="K78" s="598"/>
      <c r="L78" s="598"/>
      <c r="O78" s="15"/>
      <c r="P78" s="12"/>
      <c r="Q78" s="12"/>
      <c r="R78" s="12"/>
      <c r="S78" s="37"/>
    </row>
    <row r="79" spans="1:19" s="41" customFormat="1" ht="13.8" x14ac:dyDescent="0.25">
      <c r="A79" s="43"/>
      <c r="B79" s="598"/>
      <c r="C79" s="598"/>
      <c r="D79" s="598"/>
      <c r="E79" s="598"/>
      <c r="F79" s="598"/>
      <c r="G79" s="598"/>
      <c r="H79" s="598"/>
      <c r="I79" s="598"/>
      <c r="J79" s="598"/>
      <c r="K79" s="598"/>
      <c r="L79" s="598"/>
      <c r="O79" s="15"/>
      <c r="P79" s="12"/>
      <c r="Q79" s="12"/>
      <c r="R79" s="12"/>
      <c r="S79" s="37"/>
    </row>
    <row r="80" spans="1:19" s="41" customFormat="1" ht="7.5" customHeight="1" x14ac:dyDescent="0.25">
      <c r="A80" s="43"/>
      <c r="B80" s="513"/>
      <c r="C80" s="513"/>
      <c r="D80" s="513"/>
      <c r="E80" s="513"/>
      <c r="F80" s="513"/>
      <c r="G80" s="513"/>
      <c r="H80" s="513"/>
      <c r="I80" s="513"/>
      <c r="J80" s="513"/>
      <c r="K80" s="513"/>
      <c r="L80" s="513"/>
      <c r="O80" s="15"/>
      <c r="P80" s="12"/>
      <c r="Q80" s="12"/>
      <c r="R80" s="12"/>
      <c r="S80" s="37"/>
    </row>
    <row r="81" spans="1:23" s="41" customFormat="1" ht="6.75" customHeight="1" x14ac:dyDescent="0.25">
      <c r="A81" s="44"/>
      <c r="B81" s="44"/>
      <c r="C81" s="44"/>
      <c r="D81" s="44"/>
      <c r="E81" s="44"/>
      <c r="F81" s="44"/>
      <c r="G81" s="44"/>
      <c r="H81" s="45"/>
      <c r="I81" s="45"/>
      <c r="J81" s="46"/>
      <c r="K81" s="47"/>
      <c r="L81" s="47"/>
      <c r="M81" s="47"/>
      <c r="N81" s="62"/>
      <c r="O81" s="177"/>
      <c r="P81" s="36"/>
      <c r="Q81" s="36"/>
      <c r="R81" s="36"/>
      <c r="S81" s="178"/>
      <c r="T81" s="62"/>
    </row>
    <row r="82" spans="1:23" s="41" customFormat="1" ht="13.8" x14ac:dyDescent="0.25">
      <c r="A82" s="43"/>
      <c r="B82" s="48" t="s">
        <v>26</v>
      </c>
      <c r="D82" s="254"/>
      <c r="E82" s="254"/>
      <c r="F82" s="254"/>
      <c r="G82" s="254"/>
      <c r="H82" s="49"/>
      <c r="I82" s="50"/>
      <c r="J82" s="51"/>
      <c r="K82" s="51"/>
      <c r="O82" s="15"/>
      <c r="P82" s="12"/>
      <c r="Q82" s="12"/>
      <c r="R82" s="12"/>
      <c r="S82" s="37"/>
    </row>
    <row r="83" spans="1:23" s="41" customFormat="1" ht="13.8" x14ac:dyDescent="0.25">
      <c r="A83" s="43"/>
      <c r="B83" s="52"/>
      <c r="D83" s="254"/>
      <c r="E83" s="254"/>
      <c r="F83" s="254"/>
      <c r="G83" s="254"/>
      <c r="H83" s="53"/>
      <c r="I83" s="53" t="s">
        <v>27</v>
      </c>
      <c r="J83" s="254"/>
      <c r="L83" s="54" t="s">
        <v>28</v>
      </c>
      <c r="O83" s="15"/>
      <c r="P83" s="12"/>
      <c r="Q83" s="12"/>
      <c r="R83" s="12"/>
      <c r="S83" s="37"/>
    </row>
    <row r="84" spans="1:23" s="41" customFormat="1" ht="13.8" x14ac:dyDescent="0.25">
      <c r="A84" s="43"/>
      <c r="B84" s="55" t="s">
        <v>29</v>
      </c>
      <c r="C84" s="260" t="s">
        <v>331</v>
      </c>
      <c r="D84" s="310"/>
      <c r="E84" s="310"/>
      <c r="F84" s="310"/>
      <c r="G84" s="261"/>
      <c r="H84" s="261"/>
      <c r="I84" s="308" t="s">
        <v>4</v>
      </c>
      <c r="J84" s="308"/>
      <c r="K84" s="308"/>
      <c r="L84" s="462">
        <v>-135000</v>
      </c>
      <c r="M84" s="331"/>
      <c r="N84" s="331"/>
      <c r="O84" s="343"/>
      <c r="P84" s="331"/>
      <c r="Q84" s="331"/>
      <c r="R84" s="331"/>
      <c r="S84" s="344"/>
      <c r="T84" s="331"/>
    </row>
    <row r="85" spans="1:23" s="41" customFormat="1" ht="13.8" x14ac:dyDescent="0.25">
      <c r="A85" s="43"/>
      <c r="B85" s="55" t="s">
        <v>30</v>
      </c>
      <c r="C85" s="260" t="s">
        <v>332</v>
      </c>
      <c r="D85" s="310"/>
      <c r="E85" s="310"/>
      <c r="F85" s="310"/>
      <c r="G85" s="261"/>
      <c r="H85" s="261"/>
      <c r="I85" s="575" t="s">
        <v>12</v>
      </c>
      <c r="J85" s="575"/>
      <c r="K85" s="575"/>
      <c r="L85" s="469">
        <v>-150000</v>
      </c>
      <c r="M85" s="331"/>
      <c r="N85" s="331"/>
      <c r="O85" s="343"/>
      <c r="P85" s="331"/>
      <c r="Q85" s="331"/>
      <c r="R85" s="331"/>
      <c r="S85" s="344"/>
      <c r="T85" s="331"/>
    </row>
    <row r="86" spans="1:23" s="41" customFormat="1" ht="13.8" x14ac:dyDescent="0.25">
      <c r="A86" s="43"/>
      <c r="B86" s="55" t="s">
        <v>31</v>
      </c>
      <c r="C86" s="260" t="s">
        <v>333</v>
      </c>
      <c r="D86" s="310"/>
      <c r="E86" s="310"/>
      <c r="F86" s="310"/>
      <c r="G86" s="261"/>
      <c r="H86" s="261"/>
      <c r="I86" s="575" t="s">
        <v>19</v>
      </c>
      <c r="J86" s="575"/>
      <c r="K86" s="575"/>
      <c r="L86" s="463">
        <v>-510000</v>
      </c>
      <c r="M86" s="331"/>
      <c r="N86" s="331"/>
      <c r="O86" s="343"/>
      <c r="P86" s="331"/>
      <c r="Q86" s="331"/>
      <c r="R86" s="331"/>
      <c r="S86" s="344"/>
      <c r="T86" s="331"/>
    </row>
    <row r="87" spans="1:23" s="41" customFormat="1" ht="15" hidden="1" customHeight="1" x14ac:dyDescent="0.25">
      <c r="A87" s="43"/>
      <c r="B87" s="55" t="s">
        <v>32</v>
      </c>
      <c r="C87" s="260"/>
      <c r="D87" s="310"/>
      <c r="E87" s="310"/>
      <c r="F87" s="310"/>
      <c r="G87" s="261"/>
      <c r="H87" s="261"/>
      <c r="I87" s="575"/>
      <c r="J87" s="575"/>
      <c r="K87" s="575"/>
      <c r="L87" s="220"/>
      <c r="M87" s="331"/>
      <c r="N87" s="331"/>
      <c r="O87" s="418"/>
      <c r="P87" s="331"/>
      <c r="Q87" s="331"/>
      <c r="R87" s="331"/>
      <c r="S87" s="344"/>
      <c r="T87" s="331"/>
    </row>
    <row r="88" spans="1:23" s="41" customFormat="1" ht="15" hidden="1" customHeight="1" x14ac:dyDescent="0.25">
      <c r="A88" s="43"/>
      <c r="B88" s="55" t="s">
        <v>33</v>
      </c>
      <c r="C88" s="260"/>
      <c r="D88" s="310"/>
      <c r="E88" s="310"/>
      <c r="F88" s="310"/>
      <c r="G88" s="261"/>
      <c r="H88" s="261"/>
      <c r="I88" s="308"/>
      <c r="J88" s="308"/>
      <c r="K88" s="308"/>
      <c r="L88" s="220"/>
      <c r="M88" s="331"/>
      <c r="N88" s="331"/>
      <c r="O88" s="343"/>
      <c r="P88" s="331"/>
      <c r="Q88" s="331"/>
      <c r="R88" s="331"/>
      <c r="S88" s="344"/>
      <c r="T88" s="331"/>
    </row>
    <row r="89" spans="1:23" s="41" customFormat="1" ht="15" hidden="1" customHeight="1" x14ac:dyDescent="0.25">
      <c r="A89" s="43"/>
      <c r="B89" s="55" t="s">
        <v>181</v>
      </c>
      <c r="C89" s="264"/>
      <c r="D89" s="264"/>
      <c r="E89" s="264"/>
      <c r="F89" s="264"/>
      <c r="G89" s="264"/>
      <c r="H89" s="264"/>
      <c r="I89" s="264"/>
      <c r="J89" s="264"/>
      <c r="K89" s="264"/>
      <c r="L89" s="264"/>
      <c r="O89" s="43"/>
      <c r="S89" s="40"/>
    </row>
    <row r="90" spans="1:23" s="41" customFormat="1" ht="15" hidden="1" customHeight="1" x14ac:dyDescent="0.25">
      <c r="A90" s="43"/>
      <c r="B90" s="55" t="s">
        <v>182</v>
      </c>
      <c r="C90" s="260"/>
      <c r="D90" s="253"/>
      <c r="E90" s="253"/>
      <c r="F90" s="253"/>
      <c r="G90" s="261"/>
      <c r="H90" s="261"/>
      <c r="I90" s="575"/>
      <c r="J90" s="575"/>
      <c r="K90" s="575"/>
      <c r="L90" s="220"/>
      <c r="O90" s="43"/>
      <c r="S90" s="40"/>
    </row>
    <row r="91" spans="1:23" s="62" customFormat="1" ht="14.4" thickBot="1" x14ac:dyDescent="0.3">
      <c r="A91" s="60"/>
      <c r="B91" s="61" t="s">
        <v>184</v>
      </c>
      <c r="E91" s="52"/>
      <c r="F91" s="52"/>
      <c r="G91" s="63"/>
      <c r="H91" s="51"/>
      <c r="I91" s="63"/>
      <c r="J91" s="42"/>
      <c r="L91" s="64">
        <f>SUM(L84:L90)</f>
        <v>-795000</v>
      </c>
      <c r="M91" s="41"/>
      <c r="N91" s="41"/>
      <c r="O91" s="43"/>
      <c r="P91" s="41"/>
      <c r="Q91" s="41"/>
      <c r="R91" s="41"/>
      <c r="S91" s="40"/>
    </row>
    <row r="92" spans="1:23" s="41" customFormat="1" ht="8.25" customHeight="1" thickTop="1" x14ac:dyDescent="0.25">
      <c r="A92" s="65"/>
      <c r="B92" s="66"/>
      <c r="C92" s="66"/>
      <c r="D92" s="66"/>
      <c r="E92" s="66"/>
      <c r="F92" s="66"/>
      <c r="G92" s="66"/>
      <c r="H92" s="66"/>
      <c r="I92" s="66"/>
      <c r="J92" s="67"/>
      <c r="K92" s="67"/>
      <c r="L92" s="47"/>
      <c r="M92" s="47"/>
      <c r="O92" s="43"/>
      <c r="W92" s="40"/>
    </row>
    <row r="93" spans="1:23" s="41" customFormat="1" ht="3.75" customHeight="1" x14ac:dyDescent="0.25">
      <c r="A93" s="39"/>
      <c r="B93" s="68"/>
      <c r="C93" s="68"/>
      <c r="D93" s="68"/>
      <c r="E93" s="68"/>
      <c r="F93" s="68"/>
      <c r="G93" s="68"/>
      <c r="H93" s="68"/>
      <c r="I93" s="68"/>
      <c r="J93" s="69"/>
      <c r="K93" s="69"/>
      <c r="O93" s="43"/>
      <c r="W93" s="40"/>
    </row>
    <row r="94" spans="1:23" s="41" customFormat="1" ht="13.8" x14ac:dyDescent="0.25">
      <c r="A94" s="43"/>
      <c r="B94" s="6" t="s">
        <v>34</v>
      </c>
      <c r="C94" s="70"/>
      <c r="D94" s="70"/>
      <c r="E94" s="70"/>
      <c r="F94" s="70"/>
      <c r="G94" s="70"/>
      <c r="H94" s="70"/>
      <c r="I94" s="70"/>
      <c r="J94" s="89"/>
      <c r="K94" s="89"/>
      <c r="O94" s="43"/>
      <c r="W94" s="40"/>
    </row>
    <row r="95" spans="1:23" s="41" customFormat="1" ht="15" customHeight="1" x14ac:dyDescent="0.25">
      <c r="A95" s="43"/>
      <c r="B95" s="571" t="s">
        <v>427</v>
      </c>
      <c r="C95" s="571"/>
      <c r="D95" s="571"/>
      <c r="E95" s="571"/>
      <c r="F95" s="571"/>
      <c r="G95" s="571"/>
      <c r="H95" s="571"/>
      <c r="I95" s="571"/>
      <c r="J95" s="571"/>
      <c r="K95" s="571"/>
      <c r="L95" s="571"/>
      <c r="O95" s="43"/>
      <c r="W95" s="40"/>
    </row>
    <row r="96" spans="1:23" s="41" customFormat="1" ht="15" customHeight="1" x14ac:dyDescent="0.25">
      <c r="A96" s="43"/>
      <c r="B96" s="571"/>
      <c r="C96" s="571"/>
      <c r="D96" s="571"/>
      <c r="E96" s="571"/>
      <c r="F96" s="571"/>
      <c r="G96" s="571"/>
      <c r="H96" s="571"/>
      <c r="I96" s="571"/>
      <c r="J96" s="571"/>
      <c r="K96" s="571"/>
      <c r="L96" s="571"/>
      <c r="O96" s="43"/>
      <c r="W96" s="40"/>
    </row>
    <row r="97" spans="1:23" s="41" customFormat="1" ht="15" customHeight="1" x14ac:dyDescent="0.25">
      <c r="A97" s="43"/>
      <c r="B97" s="571"/>
      <c r="C97" s="571"/>
      <c r="D97" s="571"/>
      <c r="E97" s="571"/>
      <c r="F97" s="571"/>
      <c r="G97" s="571"/>
      <c r="H97" s="571"/>
      <c r="I97" s="571"/>
      <c r="J97" s="571"/>
      <c r="K97" s="571"/>
      <c r="L97" s="571"/>
      <c r="O97" s="43"/>
      <c r="W97" s="40"/>
    </row>
    <row r="98" spans="1:23" s="41" customFormat="1" ht="15" customHeight="1" x14ac:dyDescent="0.25">
      <c r="A98" s="43"/>
      <c r="B98" s="571"/>
      <c r="C98" s="571"/>
      <c r="D98" s="571"/>
      <c r="E98" s="571"/>
      <c r="F98" s="571"/>
      <c r="G98" s="571"/>
      <c r="H98" s="571"/>
      <c r="I98" s="571"/>
      <c r="J98" s="571"/>
      <c r="K98" s="571"/>
      <c r="L98" s="571"/>
      <c r="O98" s="43"/>
      <c r="W98" s="40"/>
    </row>
    <row r="99" spans="1:23" s="41" customFormat="1" ht="15" customHeight="1" x14ac:dyDescent="0.25">
      <c r="A99" s="43"/>
      <c r="B99" s="571"/>
      <c r="C99" s="571"/>
      <c r="D99" s="571"/>
      <c r="E99" s="571"/>
      <c r="F99" s="571"/>
      <c r="G99" s="571"/>
      <c r="H99" s="571"/>
      <c r="I99" s="571"/>
      <c r="J99" s="571"/>
      <c r="K99" s="571"/>
      <c r="L99" s="571"/>
      <c r="O99" s="43"/>
      <c r="W99" s="40"/>
    </row>
    <row r="100" spans="1:23" s="41" customFormat="1" ht="15" customHeight="1" x14ac:dyDescent="0.25">
      <c r="A100" s="43"/>
      <c r="B100" s="571"/>
      <c r="C100" s="571"/>
      <c r="D100" s="571"/>
      <c r="E100" s="571"/>
      <c r="F100" s="571"/>
      <c r="G100" s="571"/>
      <c r="H100" s="571"/>
      <c r="I100" s="571"/>
      <c r="J100" s="571"/>
      <c r="K100" s="571"/>
      <c r="L100" s="571"/>
      <c r="O100" s="43"/>
      <c r="W100" s="40"/>
    </row>
    <row r="101" spans="1:23" s="41" customFormat="1" ht="15" customHeight="1" x14ac:dyDescent="0.25">
      <c r="A101" s="43"/>
      <c r="B101" s="571"/>
      <c r="C101" s="571"/>
      <c r="D101" s="571"/>
      <c r="E101" s="571"/>
      <c r="F101" s="571"/>
      <c r="G101" s="571"/>
      <c r="H101" s="571"/>
      <c r="I101" s="571"/>
      <c r="J101" s="571"/>
      <c r="K101" s="571"/>
      <c r="L101" s="571"/>
      <c r="O101" s="43"/>
      <c r="W101" s="40"/>
    </row>
    <row r="102" spans="1:23" s="41" customFormat="1" ht="15" customHeight="1" x14ac:dyDescent="0.25">
      <c r="A102" s="43"/>
      <c r="B102" s="571"/>
      <c r="C102" s="571"/>
      <c r="D102" s="571"/>
      <c r="E102" s="571"/>
      <c r="F102" s="571"/>
      <c r="G102" s="571"/>
      <c r="H102" s="571"/>
      <c r="I102" s="571"/>
      <c r="J102" s="571"/>
      <c r="K102" s="571"/>
      <c r="L102" s="571"/>
      <c r="O102" s="43"/>
      <c r="W102" s="40"/>
    </row>
    <row r="103" spans="1:23" s="41" customFormat="1" ht="15" customHeight="1" x14ac:dyDescent="0.25">
      <c r="A103" s="43"/>
      <c r="B103" s="571"/>
      <c r="C103" s="571"/>
      <c r="D103" s="571"/>
      <c r="E103" s="571"/>
      <c r="F103" s="571"/>
      <c r="G103" s="571"/>
      <c r="H103" s="571"/>
      <c r="I103" s="571"/>
      <c r="J103" s="571"/>
      <c r="K103" s="571"/>
      <c r="L103" s="571"/>
      <c r="O103" s="43"/>
      <c r="W103" s="40"/>
    </row>
    <row r="104" spans="1:23" s="41" customFormat="1" ht="15" customHeight="1" x14ac:dyDescent="0.25">
      <c r="A104" s="43"/>
      <c r="B104" s="571"/>
      <c r="C104" s="571"/>
      <c r="D104" s="571"/>
      <c r="E104" s="571"/>
      <c r="F104" s="571"/>
      <c r="G104" s="571"/>
      <c r="H104" s="571"/>
      <c r="I104" s="571"/>
      <c r="J104" s="571"/>
      <c r="K104" s="571"/>
      <c r="L104" s="571"/>
      <c r="O104" s="43"/>
      <c r="W104" s="40"/>
    </row>
    <row r="105" spans="1:23" s="41" customFormat="1" ht="15" customHeight="1" x14ac:dyDescent="0.25">
      <c r="A105" s="43"/>
      <c r="B105" s="571"/>
      <c r="C105" s="571"/>
      <c r="D105" s="571"/>
      <c r="E105" s="571"/>
      <c r="F105" s="571"/>
      <c r="G105" s="571"/>
      <c r="H105" s="571"/>
      <c r="I105" s="571"/>
      <c r="J105" s="571"/>
      <c r="K105" s="571"/>
      <c r="L105" s="571"/>
      <c r="O105" s="43"/>
      <c r="W105" s="40"/>
    </row>
    <row r="106" spans="1:23" s="41" customFormat="1" ht="15" customHeight="1" x14ac:dyDescent="0.25">
      <c r="A106" s="43"/>
      <c r="B106" s="571"/>
      <c r="C106" s="571"/>
      <c r="D106" s="571"/>
      <c r="E106" s="571"/>
      <c r="F106" s="571"/>
      <c r="G106" s="571"/>
      <c r="H106" s="571"/>
      <c r="I106" s="571"/>
      <c r="J106" s="571"/>
      <c r="K106" s="571"/>
      <c r="L106" s="571"/>
      <c r="O106" s="43"/>
      <c r="W106" s="40"/>
    </row>
    <row r="107" spans="1:23" s="41" customFormat="1" ht="15" customHeight="1" x14ac:dyDescent="0.25">
      <c r="A107" s="43"/>
      <c r="B107" s="571"/>
      <c r="C107" s="571"/>
      <c r="D107" s="571"/>
      <c r="E107" s="571"/>
      <c r="F107" s="571"/>
      <c r="G107" s="571"/>
      <c r="H107" s="571"/>
      <c r="I107" s="571"/>
      <c r="J107" s="571"/>
      <c r="K107" s="571"/>
      <c r="L107" s="571"/>
      <c r="O107" s="43"/>
      <c r="W107" s="40"/>
    </row>
    <row r="108" spans="1:23" s="41" customFormat="1" ht="15" customHeight="1" x14ac:dyDescent="0.25">
      <c r="A108" s="43"/>
      <c r="B108" s="571"/>
      <c r="C108" s="571"/>
      <c r="D108" s="571"/>
      <c r="E108" s="571"/>
      <c r="F108" s="571"/>
      <c r="G108" s="571"/>
      <c r="H108" s="571"/>
      <c r="I108" s="571"/>
      <c r="J108" s="571"/>
      <c r="K108" s="571"/>
      <c r="L108" s="571"/>
      <c r="O108" s="43"/>
      <c r="W108" s="40"/>
    </row>
    <row r="109" spans="1:23" s="41" customFormat="1" ht="8.25" customHeight="1" thickBot="1" x14ac:dyDescent="0.3">
      <c r="A109" s="77"/>
      <c r="B109" s="78" t="s">
        <v>273</v>
      </c>
      <c r="C109" s="78"/>
      <c r="D109" s="78"/>
      <c r="E109" s="78"/>
      <c r="F109" s="78"/>
      <c r="G109" s="78"/>
      <c r="H109" s="78"/>
      <c r="I109" s="78"/>
      <c r="J109" s="79"/>
      <c r="K109" s="79"/>
      <c r="L109" s="80"/>
      <c r="M109" s="80"/>
      <c r="O109" s="43"/>
      <c r="W109" s="40"/>
    </row>
    <row r="110" spans="1:23" s="41" customFormat="1" ht="6.75" customHeight="1" x14ac:dyDescent="0.25">
      <c r="A110" s="39"/>
      <c r="B110" s="68"/>
      <c r="C110" s="68"/>
      <c r="D110" s="68"/>
      <c r="E110" s="68"/>
      <c r="F110" s="68"/>
      <c r="G110" s="68"/>
      <c r="H110" s="68"/>
      <c r="I110" s="68"/>
      <c r="J110" s="69"/>
      <c r="K110" s="69"/>
      <c r="O110" s="43"/>
      <c r="W110" s="40"/>
    </row>
    <row r="111" spans="1:23" ht="13.8" x14ac:dyDescent="0.25">
      <c r="B111" s="48"/>
      <c r="L111" s="41"/>
      <c r="M111" s="41"/>
      <c r="N111" s="41"/>
      <c r="O111" s="43"/>
      <c r="P111" s="41"/>
      <c r="Q111" s="41"/>
      <c r="R111" s="41"/>
      <c r="S111" s="59"/>
    </row>
    <row r="112" spans="1:23" ht="11.25" customHeight="1" x14ac:dyDescent="0.25">
      <c r="B112" s="48"/>
      <c r="L112" s="41"/>
      <c r="M112" s="41"/>
      <c r="N112" s="41"/>
      <c r="O112" s="43"/>
      <c r="P112" s="41"/>
      <c r="Q112" s="41"/>
      <c r="R112" s="41"/>
      <c r="S112" s="59"/>
    </row>
    <row r="113" spans="12:19" ht="13.8" x14ac:dyDescent="0.25">
      <c r="L113" s="41"/>
      <c r="M113" s="41"/>
      <c r="N113" s="41"/>
      <c r="O113" s="43"/>
      <c r="P113" s="41"/>
      <c r="Q113" s="41"/>
      <c r="R113" s="41"/>
      <c r="S113" s="40"/>
    </row>
    <row r="114" spans="12:19" ht="13.8" x14ac:dyDescent="0.25">
      <c r="L114" s="41"/>
      <c r="M114" s="41"/>
      <c r="N114" s="41"/>
      <c r="O114" s="43"/>
      <c r="P114" s="41"/>
      <c r="Q114" s="41"/>
      <c r="R114" s="41"/>
      <c r="S114" s="40"/>
    </row>
    <row r="115" spans="12:19" ht="13.8" x14ac:dyDescent="0.25">
      <c r="O115" s="41"/>
      <c r="P115" s="41"/>
      <c r="Q115" s="41"/>
      <c r="R115" s="41"/>
      <c r="S115" s="40"/>
    </row>
    <row r="116" spans="12:19" ht="13.8" x14ac:dyDescent="0.25">
      <c r="O116" s="41"/>
      <c r="P116" s="41"/>
      <c r="Q116" s="41"/>
      <c r="R116" s="41"/>
      <c r="S116" s="40"/>
    </row>
    <row r="117" spans="12:19" ht="13.8" x14ac:dyDescent="0.25">
      <c r="O117" s="41"/>
      <c r="P117" s="41"/>
      <c r="Q117" s="41"/>
      <c r="R117" s="41"/>
      <c r="S117" s="40"/>
    </row>
    <row r="118" spans="12:19" ht="15.6" x14ac:dyDescent="0.3">
      <c r="O118" s="71"/>
      <c r="P118" s="71"/>
      <c r="Q118" s="71"/>
      <c r="R118" s="71"/>
      <c r="S118" s="72"/>
    </row>
    <row r="119" spans="12:19" ht="15.6" x14ac:dyDescent="0.3">
      <c r="O119" s="71"/>
      <c r="P119" s="71"/>
      <c r="Q119" s="71"/>
      <c r="R119" s="71"/>
      <c r="S119" s="72"/>
    </row>
    <row r="120" spans="12:19" ht="15.6" x14ac:dyDescent="0.3">
      <c r="O120" s="71"/>
      <c r="P120" s="71"/>
      <c r="Q120" s="71"/>
      <c r="R120" s="71"/>
      <c r="S120" s="72"/>
    </row>
    <row r="121" spans="12:19" ht="15.6" x14ac:dyDescent="0.3">
      <c r="O121" s="71"/>
      <c r="P121" s="71"/>
      <c r="Q121" s="71"/>
      <c r="R121" s="71"/>
      <c r="S121" s="72"/>
    </row>
  </sheetData>
  <mergeCells count="11">
    <mergeCell ref="B23:L32"/>
    <mergeCell ref="B95:L108"/>
    <mergeCell ref="I85:K85"/>
    <mergeCell ref="I86:K86"/>
    <mergeCell ref="I90:K90"/>
    <mergeCell ref="I87:K87"/>
    <mergeCell ref="B34:L38"/>
    <mergeCell ref="B40:L50"/>
    <mergeCell ref="B51:L61"/>
    <mergeCell ref="B62:L71"/>
    <mergeCell ref="B72:L79"/>
  </mergeCells>
  <dataValidations disablePrompts="1" count="3">
    <dataValidation type="list" allowBlank="1" showInputMessage="1" showErrorMessage="1" sqref="G90 G84:G88">
      <formula1>$O$17:$O$19</formula1>
    </dataValidation>
    <dataValidation type="list" allowBlank="1" showInputMessage="1" showErrorMessage="1" sqref="I90:K90 I84:K88">
      <formula1>$O$3:$O$21</formula1>
    </dataValidation>
    <dataValidation allowBlank="1" showErrorMessage="1" promptTitle="Do not change" sqref="B83"/>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49"/>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2.10937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174</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76704906</v>
      </c>
      <c r="F5" s="18">
        <v>80140114</v>
      </c>
      <c r="G5" s="18">
        <v>82830646.680000007</v>
      </c>
      <c r="I5" s="86" t="s">
        <v>38</v>
      </c>
      <c r="J5" s="73"/>
      <c r="K5" s="73"/>
      <c r="L5" s="73">
        <v>-600000</v>
      </c>
      <c r="O5" s="15" t="s">
        <v>4</v>
      </c>
      <c r="S5" s="10">
        <f t="shared" si="0"/>
        <v>0</v>
      </c>
    </row>
    <row r="6" spans="1:19" x14ac:dyDescent="0.25">
      <c r="B6" s="16" t="s">
        <v>7</v>
      </c>
      <c r="C6" s="17"/>
      <c r="D6" s="12"/>
      <c r="E6" s="18">
        <v>68168086</v>
      </c>
      <c r="F6" s="18">
        <v>72282957</v>
      </c>
      <c r="G6" s="18">
        <f>+G5-9047689</f>
        <v>73782957.680000007</v>
      </c>
      <c r="I6" s="87" t="s">
        <v>39</v>
      </c>
      <c r="J6" s="18">
        <v>0</v>
      </c>
      <c r="K6" s="18">
        <v>-470000</v>
      </c>
      <c r="L6" s="18">
        <v>-750000</v>
      </c>
      <c r="O6" s="15" t="s">
        <v>6</v>
      </c>
      <c r="S6" s="10">
        <f t="shared" si="0"/>
        <v>-250000</v>
      </c>
    </row>
    <row r="7" spans="1:19" x14ac:dyDescent="0.25">
      <c r="B7" s="21" t="s">
        <v>9</v>
      </c>
      <c r="C7" s="22"/>
      <c r="D7" s="23"/>
      <c r="E7" s="24">
        <v>68078115</v>
      </c>
      <c r="F7" s="24">
        <v>72909629</v>
      </c>
      <c r="G7" s="24">
        <f>G6-L6</f>
        <v>74532957.680000007</v>
      </c>
      <c r="I7" s="87" t="s">
        <v>40</v>
      </c>
      <c r="J7" s="18">
        <v>0</v>
      </c>
      <c r="K7" s="18">
        <v>-470000</v>
      </c>
      <c r="L7" s="18">
        <f>+L36</f>
        <v>-750000</v>
      </c>
      <c r="O7" s="15" t="s">
        <v>8</v>
      </c>
      <c r="P7" s="20"/>
      <c r="S7" s="10">
        <f t="shared" si="0"/>
        <v>0</v>
      </c>
    </row>
    <row r="8" spans="1:19" x14ac:dyDescent="0.25">
      <c r="B8" s="26" t="s">
        <v>11</v>
      </c>
      <c r="C8" s="27"/>
      <c r="D8" s="28"/>
      <c r="E8" s="29">
        <v>89971</v>
      </c>
      <c r="F8" s="29">
        <v>-626672</v>
      </c>
      <c r="G8" s="29">
        <f>G6-G7</f>
        <v>-750000</v>
      </c>
      <c r="I8" s="88" t="s">
        <v>43</v>
      </c>
      <c r="J8" s="74">
        <f>E8</f>
        <v>89971</v>
      </c>
      <c r="K8" s="74">
        <f>F8</f>
        <v>-626672</v>
      </c>
      <c r="L8" s="74"/>
      <c r="O8" s="15" t="s">
        <v>10</v>
      </c>
      <c r="P8" s="25"/>
      <c r="S8" s="10">
        <f t="shared" si="0"/>
        <v>0</v>
      </c>
    </row>
    <row r="9" spans="1:19" x14ac:dyDescent="0.25">
      <c r="B9" s="32" t="s">
        <v>37</v>
      </c>
      <c r="C9" s="33"/>
      <c r="D9" s="23"/>
      <c r="E9" s="34">
        <f>IF(ISERROR(IF(E8=0,"",(E8/$E$5))),"",(IF(E8=0,"",(E8/$E$5))))</f>
        <v>1.1729497458741426E-3</v>
      </c>
      <c r="F9" s="34">
        <f>IF(ISERROR(IF(F8=0,"",(F8/$F$5))),"",(IF(F8=0,"",(F8/$F$5))))</f>
        <v>-7.8197043742663005E-3</v>
      </c>
      <c r="G9" s="34">
        <f>IF(ISERROR(IF(G8=0,"",(G8/$G$5))),"",(IF(G8=0,"",(G8/$G$5))))</f>
        <v>-9.054619637312241E-3</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-150000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-150000</v>
      </c>
    </row>
    <row r="16" spans="1:19" x14ac:dyDescent="0.25">
      <c r="O16" s="15" t="s">
        <v>19</v>
      </c>
      <c r="P16" s="36"/>
      <c r="Q16" s="36"/>
      <c r="S16" s="10">
        <f t="shared" si="0"/>
        <v>-200000</v>
      </c>
    </row>
    <row r="17" spans="1:20" x14ac:dyDescent="0.25">
      <c r="O17" s="15" t="s">
        <v>20</v>
      </c>
      <c r="P17" s="36"/>
      <c r="Q17" s="36"/>
      <c r="S17" s="10">
        <f t="shared" si="0"/>
        <v>0</v>
      </c>
    </row>
    <row r="18" spans="1:20" x14ac:dyDescent="0.25">
      <c r="O18" s="12" t="s">
        <v>21</v>
      </c>
      <c r="S18" s="10">
        <f t="shared" si="0"/>
        <v>0</v>
      </c>
    </row>
    <row r="19" spans="1:20" x14ac:dyDescent="0.25">
      <c r="O19" s="15" t="s">
        <v>22</v>
      </c>
      <c r="S19" s="10">
        <f t="shared" si="0"/>
        <v>0</v>
      </c>
    </row>
    <row r="20" spans="1:20" x14ac:dyDescent="0.25">
      <c r="O20" s="15" t="s">
        <v>23</v>
      </c>
      <c r="S20" s="10">
        <f t="shared" si="0"/>
        <v>0</v>
      </c>
    </row>
    <row r="21" spans="1:20" ht="11.25" customHeight="1" x14ac:dyDescent="0.25">
      <c r="O21" s="15" t="s">
        <v>24</v>
      </c>
      <c r="S21" s="10">
        <f t="shared" si="0"/>
        <v>0</v>
      </c>
    </row>
    <row r="22" spans="1:20" s="41" customFormat="1" ht="13.8" x14ac:dyDescent="0.25">
      <c r="A22" s="39"/>
      <c r="B22" s="6" t="s">
        <v>25</v>
      </c>
      <c r="C22" s="6"/>
      <c r="D22" s="6"/>
      <c r="E22" s="6"/>
      <c r="F22" s="6"/>
      <c r="G22" s="6"/>
      <c r="H22" s="40"/>
      <c r="I22" s="40"/>
      <c r="K22" s="42"/>
      <c r="O22" s="15" t="s">
        <v>44</v>
      </c>
      <c r="P22" s="12"/>
      <c r="Q22" s="12"/>
      <c r="R22" s="12"/>
      <c r="S22" s="37">
        <f>SUM(S3:S21)</f>
        <v>-750000</v>
      </c>
    </row>
    <row r="23" spans="1:20" s="41" customFormat="1" ht="15" customHeight="1" x14ac:dyDescent="0.25">
      <c r="A23" s="39"/>
      <c r="B23" s="572" t="s">
        <v>409</v>
      </c>
      <c r="C23" s="572"/>
      <c r="D23" s="572"/>
      <c r="E23" s="572"/>
      <c r="F23" s="572"/>
      <c r="G23" s="572"/>
      <c r="H23" s="572"/>
      <c r="I23" s="572"/>
      <c r="J23" s="572"/>
      <c r="K23" s="572"/>
      <c r="L23" s="572"/>
      <c r="O23" s="15"/>
      <c r="P23" s="12"/>
      <c r="Q23" s="12"/>
      <c r="R23" s="12"/>
      <c r="S23" s="10"/>
    </row>
    <row r="24" spans="1:20" s="41" customFormat="1" ht="15" customHeight="1" x14ac:dyDescent="0.25">
      <c r="A24" s="39"/>
      <c r="B24" s="572"/>
      <c r="C24" s="572"/>
      <c r="D24" s="572"/>
      <c r="E24" s="572"/>
      <c r="F24" s="572"/>
      <c r="G24" s="572"/>
      <c r="H24" s="572"/>
      <c r="I24" s="572"/>
      <c r="J24" s="572"/>
      <c r="K24" s="572"/>
      <c r="L24" s="572"/>
      <c r="O24" s="15"/>
      <c r="P24" s="12"/>
      <c r="Q24" s="12"/>
      <c r="R24" s="12"/>
      <c r="S24" s="10"/>
    </row>
    <row r="25" spans="1:20" s="41" customFormat="1" ht="15.75" customHeight="1" x14ac:dyDescent="0.25">
      <c r="A25" s="39"/>
      <c r="B25" s="572"/>
      <c r="C25" s="572"/>
      <c r="D25" s="572"/>
      <c r="E25" s="572"/>
      <c r="F25" s="572"/>
      <c r="G25" s="572"/>
      <c r="H25" s="572"/>
      <c r="I25" s="572"/>
      <c r="J25" s="572"/>
      <c r="K25" s="572"/>
      <c r="L25" s="572"/>
      <c r="O25" s="15"/>
      <c r="P25" s="12"/>
      <c r="Q25" s="12"/>
      <c r="R25" s="12"/>
      <c r="S25" s="10"/>
    </row>
    <row r="26" spans="1:20" s="41" customFormat="1" ht="13.8" x14ac:dyDescent="0.25">
      <c r="A26" s="75"/>
      <c r="B26" s="572"/>
      <c r="C26" s="572"/>
      <c r="D26" s="572"/>
      <c r="E26" s="572"/>
      <c r="F26" s="572"/>
      <c r="G26" s="572"/>
      <c r="H26" s="572"/>
      <c r="I26" s="572"/>
      <c r="J26" s="572"/>
      <c r="K26" s="572"/>
      <c r="L26" s="572"/>
      <c r="O26" s="15"/>
      <c r="P26" s="12"/>
      <c r="Q26" s="12"/>
      <c r="R26" s="12"/>
      <c r="S26" s="10"/>
    </row>
    <row r="27" spans="1:20" s="41" customFormat="1" ht="5.25" customHeight="1" x14ac:dyDescent="0.25">
      <c r="A27" s="44"/>
      <c r="B27" s="44"/>
      <c r="C27" s="44"/>
      <c r="D27" s="44"/>
      <c r="E27" s="44"/>
      <c r="F27" s="44"/>
      <c r="G27" s="44"/>
      <c r="H27" s="45"/>
      <c r="I27" s="45"/>
      <c r="J27" s="46"/>
      <c r="K27" s="47"/>
      <c r="L27" s="47"/>
      <c r="M27" s="47"/>
      <c r="O27" s="15"/>
      <c r="P27" s="12"/>
      <c r="Q27" s="12"/>
      <c r="R27" s="12"/>
      <c r="S27" s="37"/>
    </row>
    <row r="28" spans="1:20" s="41" customFormat="1" ht="13.8" x14ac:dyDescent="0.25">
      <c r="A28" s="43"/>
      <c r="B28" s="48" t="s">
        <v>26</v>
      </c>
      <c r="D28" s="42"/>
      <c r="E28" s="42"/>
      <c r="F28" s="42"/>
      <c r="G28" s="42"/>
      <c r="H28" s="49"/>
      <c r="I28" s="50"/>
      <c r="J28" s="51"/>
      <c r="K28" s="51"/>
      <c r="O28" s="15"/>
      <c r="P28" s="12"/>
      <c r="Q28" s="12"/>
      <c r="R28" s="12"/>
      <c r="S28" s="37"/>
    </row>
    <row r="29" spans="1:20" s="41" customFormat="1" ht="13.8" x14ac:dyDescent="0.25">
      <c r="A29" s="43"/>
      <c r="B29" s="52"/>
      <c r="D29" s="42"/>
      <c r="E29" s="42"/>
      <c r="F29" s="42"/>
      <c r="G29" s="42"/>
      <c r="H29" s="53"/>
      <c r="I29" s="53" t="s">
        <v>27</v>
      </c>
      <c r="J29" s="42"/>
      <c r="L29" s="54" t="s">
        <v>28</v>
      </c>
      <c r="O29" s="15"/>
      <c r="P29" s="12"/>
      <c r="Q29" s="12"/>
      <c r="R29" s="12"/>
      <c r="S29" s="37"/>
    </row>
    <row r="30" spans="1:20" s="41" customFormat="1" ht="13.8" x14ac:dyDescent="0.25">
      <c r="A30" s="43"/>
      <c r="B30" s="267" t="s">
        <v>29</v>
      </c>
      <c r="C30" s="582" t="s">
        <v>304</v>
      </c>
      <c r="D30" s="583"/>
      <c r="E30" s="583"/>
      <c r="F30" s="583"/>
      <c r="G30" s="583"/>
      <c r="H30" s="261"/>
      <c r="I30" s="483" t="s">
        <v>19</v>
      </c>
      <c r="J30" s="309"/>
      <c r="K30" s="309"/>
      <c r="L30" s="269">
        <v>-100000</v>
      </c>
      <c r="M30" s="331" t="s">
        <v>205</v>
      </c>
      <c r="N30" s="331"/>
      <c r="O30" s="345"/>
      <c r="P30" s="346"/>
      <c r="Q30" s="346"/>
      <c r="R30" s="346"/>
      <c r="S30" s="347"/>
      <c r="T30" s="331"/>
    </row>
    <row r="31" spans="1:20" s="41" customFormat="1" ht="13.8" x14ac:dyDescent="0.25">
      <c r="A31" s="43"/>
      <c r="B31" s="267" t="s">
        <v>30</v>
      </c>
      <c r="C31" s="582" t="s">
        <v>307</v>
      </c>
      <c r="D31" s="583"/>
      <c r="E31" s="583"/>
      <c r="F31" s="583"/>
      <c r="G31" s="583"/>
      <c r="H31" s="261"/>
      <c r="I31" s="483" t="s">
        <v>19</v>
      </c>
      <c r="J31" s="309"/>
      <c r="K31" s="309"/>
      <c r="L31" s="270">
        <v>-100000</v>
      </c>
      <c r="M31" s="331" t="s">
        <v>205</v>
      </c>
      <c r="N31" s="331"/>
      <c r="O31" s="345"/>
      <c r="P31" s="346"/>
      <c r="Q31" s="346"/>
      <c r="R31" s="346"/>
      <c r="S31" s="347"/>
      <c r="T31" s="331"/>
    </row>
    <row r="32" spans="1:20" s="41" customFormat="1" ht="13.8" x14ac:dyDescent="0.25">
      <c r="A32" s="43"/>
      <c r="B32" s="267" t="s">
        <v>31</v>
      </c>
      <c r="C32" s="582" t="s">
        <v>305</v>
      </c>
      <c r="D32" s="583"/>
      <c r="E32" s="583"/>
      <c r="F32" s="583"/>
      <c r="G32" s="583"/>
      <c r="H32" s="261"/>
      <c r="I32" s="483" t="s">
        <v>15</v>
      </c>
      <c r="J32" s="309"/>
      <c r="K32" s="309"/>
      <c r="L32" s="270">
        <v>-150000</v>
      </c>
      <c r="M32" s="331" t="s">
        <v>205</v>
      </c>
      <c r="N32" s="331"/>
      <c r="O32" s="345"/>
      <c r="P32" s="346"/>
      <c r="Q32" s="346"/>
      <c r="R32" s="346"/>
      <c r="S32" s="347"/>
      <c r="T32" s="331"/>
    </row>
    <row r="33" spans="1:23" s="41" customFormat="1" ht="13.8" x14ac:dyDescent="0.25">
      <c r="A33" s="43"/>
      <c r="B33" s="267" t="s">
        <v>32</v>
      </c>
      <c r="C33" s="582" t="s">
        <v>306</v>
      </c>
      <c r="D33" s="583"/>
      <c r="E33" s="583"/>
      <c r="F33" s="583"/>
      <c r="G33" s="583"/>
      <c r="H33" s="261"/>
      <c r="I33" s="483" t="s">
        <v>18</v>
      </c>
      <c r="J33" s="309"/>
      <c r="K33" s="309"/>
      <c r="L33" s="270">
        <v>-150000</v>
      </c>
      <c r="M33" s="331" t="s">
        <v>205</v>
      </c>
      <c r="N33" s="331"/>
      <c r="O33" s="345"/>
      <c r="P33" s="346"/>
      <c r="Q33" s="346"/>
      <c r="R33" s="346"/>
      <c r="S33" s="347"/>
      <c r="T33" s="331"/>
    </row>
    <row r="34" spans="1:23" s="41" customFormat="1" ht="13.8" x14ac:dyDescent="0.25">
      <c r="A34" s="43"/>
      <c r="B34" s="267" t="s">
        <v>33</v>
      </c>
      <c r="C34" s="582" t="s">
        <v>308</v>
      </c>
      <c r="D34" s="582"/>
      <c r="E34" s="582"/>
      <c r="F34" s="582"/>
      <c r="G34" s="582"/>
      <c r="H34" s="261"/>
      <c r="I34" s="483" t="s">
        <v>6</v>
      </c>
      <c r="J34" s="268"/>
      <c r="K34" s="268"/>
      <c r="L34" s="270">
        <v>-250000</v>
      </c>
      <c r="O34" s="15"/>
      <c r="P34" s="12"/>
      <c r="Q34" s="12"/>
      <c r="R34" s="12"/>
      <c r="S34" s="37"/>
    </row>
    <row r="35" spans="1:23" s="41" customFormat="1" ht="13.8" hidden="1" x14ac:dyDescent="0.25">
      <c r="A35" s="43"/>
      <c r="B35" s="267" t="s">
        <v>181</v>
      </c>
      <c r="C35" s="582"/>
      <c r="D35" s="600"/>
      <c r="E35" s="600"/>
      <c r="F35" s="600"/>
      <c r="G35" s="600"/>
      <c r="H35" s="600"/>
      <c r="I35" s="268"/>
      <c r="J35" s="268"/>
      <c r="K35" s="268"/>
      <c r="L35" s="270"/>
      <c r="O35" s="15"/>
      <c r="P35" s="12"/>
      <c r="Q35" s="12"/>
      <c r="R35" s="12"/>
      <c r="S35" s="37"/>
    </row>
    <row r="36" spans="1:23" s="62" customFormat="1" ht="14.4" thickBot="1" x14ac:dyDescent="0.3">
      <c r="A36" s="60"/>
      <c r="B36" s="61" t="s">
        <v>184</v>
      </c>
      <c r="E36" s="52"/>
      <c r="F36" s="52"/>
      <c r="G36" s="63"/>
      <c r="H36" s="51"/>
      <c r="I36" s="63"/>
      <c r="J36" s="42"/>
      <c r="L36" s="64">
        <f>SUM(L30:L35)</f>
        <v>-750000</v>
      </c>
      <c r="M36" s="41"/>
      <c r="N36" s="41"/>
      <c r="O36" s="43"/>
      <c r="P36" s="41"/>
      <c r="Q36" s="41"/>
      <c r="R36" s="41"/>
      <c r="S36" s="40"/>
    </row>
    <row r="37" spans="1:23" s="41" customFormat="1" ht="8.25" customHeight="1" thickTop="1" x14ac:dyDescent="0.25">
      <c r="A37" s="65"/>
      <c r="B37" s="66"/>
      <c r="C37" s="66"/>
      <c r="D37" s="66"/>
      <c r="E37" s="66"/>
      <c r="F37" s="66"/>
      <c r="G37" s="66"/>
      <c r="H37" s="66"/>
      <c r="I37" s="66"/>
      <c r="J37" s="67"/>
      <c r="K37" s="67"/>
      <c r="L37" s="47"/>
      <c r="M37" s="47"/>
      <c r="O37" s="43"/>
      <c r="W37" s="40"/>
    </row>
    <row r="38" spans="1:23" s="41" customFormat="1" ht="3.75" customHeight="1" x14ac:dyDescent="0.25">
      <c r="A38" s="39"/>
      <c r="B38" s="68"/>
      <c r="C38" s="68"/>
      <c r="D38" s="68"/>
      <c r="E38" s="68"/>
      <c r="F38" s="68"/>
      <c r="G38" s="68"/>
      <c r="H38" s="68"/>
      <c r="I38" s="68"/>
      <c r="J38" s="69"/>
      <c r="K38" s="69"/>
      <c r="O38" s="43"/>
      <c r="W38" s="40"/>
    </row>
    <row r="39" spans="1:23" s="41" customFormat="1" ht="13.8" x14ac:dyDescent="0.25">
      <c r="A39" s="43"/>
      <c r="B39" s="6" t="s">
        <v>34</v>
      </c>
      <c r="C39" s="70"/>
      <c r="D39" s="70"/>
      <c r="E39" s="70"/>
      <c r="F39" s="70"/>
      <c r="G39" s="70"/>
      <c r="H39" s="70"/>
      <c r="I39" s="70"/>
      <c r="J39" s="89"/>
      <c r="K39" s="89"/>
      <c r="O39" s="43"/>
      <c r="W39" s="40"/>
    </row>
    <row r="40" spans="1:23" s="41" customFormat="1" ht="15" customHeight="1" x14ac:dyDescent="0.25">
      <c r="A40" s="43"/>
      <c r="B40" s="572" t="s">
        <v>405</v>
      </c>
      <c r="C40" s="572"/>
      <c r="D40" s="572"/>
      <c r="E40" s="572"/>
      <c r="F40" s="572"/>
      <c r="G40" s="572"/>
      <c r="H40" s="572"/>
      <c r="I40" s="572"/>
      <c r="J40" s="572"/>
      <c r="K40" s="572"/>
      <c r="L40" s="572"/>
      <c r="O40" s="43"/>
      <c r="W40" s="40"/>
    </row>
    <row r="41" spans="1:23" s="41" customFormat="1" ht="15" customHeight="1" x14ac:dyDescent="0.25">
      <c r="A41" s="43"/>
      <c r="B41" s="572"/>
      <c r="C41" s="572"/>
      <c r="D41" s="572"/>
      <c r="E41" s="572"/>
      <c r="F41" s="572"/>
      <c r="G41" s="572"/>
      <c r="H41" s="572"/>
      <c r="I41" s="572"/>
      <c r="J41" s="572"/>
      <c r="K41" s="572"/>
      <c r="L41" s="572"/>
      <c r="O41" s="43"/>
      <c r="W41" s="40"/>
    </row>
    <row r="42" spans="1:23" s="41" customFormat="1" ht="15" customHeight="1" x14ac:dyDescent="0.25">
      <c r="A42" s="43"/>
      <c r="B42" s="572"/>
      <c r="C42" s="572"/>
      <c r="D42" s="572"/>
      <c r="E42" s="572"/>
      <c r="F42" s="572"/>
      <c r="G42" s="572"/>
      <c r="H42" s="572"/>
      <c r="I42" s="572"/>
      <c r="J42" s="572"/>
      <c r="K42" s="572"/>
      <c r="L42" s="572"/>
      <c r="O42" s="43"/>
      <c r="W42" s="40"/>
    </row>
    <row r="43" spans="1:23" s="41" customFormat="1" ht="15" customHeight="1" x14ac:dyDescent="0.25">
      <c r="A43" s="43"/>
      <c r="B43" s="572"/>
      <c r="C43" s="572"/>
      <c r="D43" s="572"/>
      <c r="E43" s="572"/>
      <c r="F43" s="572"/>
      <c r="G43" s="572"/>
      <c r="H43" s="572"/>
      <c r="I43" s="572"/>
      <c r="J43" s="572"/>
      <c r="K43" s="572"/>
      <c r="L43" s="572"/>
      <c r="O43" s="43"/>
      <c r="W43" s="40"/>
    </row>
    <row r="44" spans="1:23" s="41" customFormat="1" ht="15" customHeight="1" x14ac:dyDescent="0.25">
      <c r="A44" s="43"/>
      <c r="B44" s="572"/>
      <c r="C44" s="572"/>
      <c r="D44" s="572"/>
      <c r="E44" s="572"/>
      <c r="F44" s="572"/>
      <c r="G44" s="572"/>
      <c r="H44" s="572"/>
      <c r="I44" s="572"/>
      <c r="J44" s="572"/>
      <c r="K44" s="572"/>
      <c r="L44" s="572"/>
      <c r="O44" s="43"/>
      <c r="W44" s="40"/>
    </row>
    <row r="45" spans="1:23" s="41" customFormat="1" ht="15" customHeight="1" x14ac:dyDescent="0.25">
      <c r="A45" s="43"/>
      <c r="B45" s="572"/>
      <c r="C45" s="572"/>
      <c r="D45" s="572"/>
      <c r="E45" s="572"/>
      <c r="F45" s="572"/>
      <c r="G45" s="572"/>
      <c r="H45" s="572"/>
      <c r="I45" s="572"/>
      <c r="J45" s="572"/>
      <c r="K45" s="572"/>
      <c r="L45" s="572"/>
      <c r="O45" s="43"/>
      <c r="W45" s="40"/>
    </row>
    <row r="46" spans="1:23" s="41" customFormat="1" ht="15" customHeight="1" x14ac:dyDescent="0.25">
      <c r="A46" s="43"/>
      <c r="B46" s="572"/>
      <c r="C46" s="572"/>
      <c r="D46" s="572"/>
      <c r="E46" s="572"/>
      <c r="F46" s="572"/>
      <c r="G46" s="572"/>
      <c r="H46" s="572"/>
      <c r="I46" s="572"/>
      <c r="J46" s="572"/>
      <c r="K46" s="572"/>
      <c r="L46" s="572"/>
      <c r="O46" s="43"/>
      <c r="W46" s="40"/>
    </row>
    <row r="47" spans="1:23" ht="13.8" x14ac:dyDescent="0.25">
      <c r="B47" s="572"/>
      <c r="C47" s="572"/>
      <c r="D47" s="572"/>
      <c r="E47" s="572"/>
      <c r="F47" s="572"/>
      <c r="G47" s="572"/>
      <c r="H47" s="572"/>
      <c r="I47" s="572"/>
      <c r="J47" s="572"/>
      <c r="K47" s="572"/>
      <c r="L47" s="572"/>
      <c r="M47" s="41"/>
      <c r="N47" s="41"/>
      <c r="O47" s="43"/>
      <c r="P47" s="41"/>
      <c r="Q47" s="41"/>
      <c r="R47" s="41"/>
      <c r="S47" s="40"/>
    </row>
    <row r="48" spans="1:23" s="41" customFormat="1" ht="8.25" customHeight="1" thickBot="1" x14ac:dyDescent="0.3">
      <c r="A48" s="77"/>
      <c r="B48" s="78"/>
      <c r="C48" s="78"/>
      <c r="D48" s="78"/>
      <c r="E48" s="78"/>
      <c r="F48" s="78"/>
      <c r="G48" s="78"/>
      <c r="H48" s="78"/>
      <c r="I48" s="78"/>
      <c r="J48" s="79"/>
      <c r="K48" s="79"/>
      <c r="L48" s="80"/>
      <c r="M48" s="80"/>
      <c r="O48" s="43"/>
      <c r="W48" s="40"/>
    </row>
    <row r="49" spans="1:23" s="41" customFormat="1" ht="6.75" customHeight="1" x14ac:dyDescent="0.25">
      <c r="A49" s="39"/>
      <c r="B49" s="68"/>
      <c r="C49" s="68"/>
      <c r="D49" s="68"/>
      <c r="E49" s="68"/>
      <c r="F49" s="68"/>
      <c r="G49" s="68"/>
      <c r="H49" s="68"/>
      <c r="I49" s="68"/>
      <c r="J49" s="69"/>
      <c r="K49" s="69"/>
      <c r="O49" s="43"/>
      <c r="W49" s="40"/>
    </row>
  </sheetData>
  <mergeCells count="8">
    <mergeCell ref="B23:L26"/>
    <mergeCell ref="C34:G34"/>
    <mergeCell ref="C35:H35"/>
    <mergeCell ref="B40:L47"/>
    <mergeCell ref="C33:G33"/>
    <mergeCell ref="C30:G30"/>
    <mergeCell ref="C32:G32"/>
    <mergeCell ref="C31:G31"/>
  </mergeCells>
  <dataValidations count="2">
    <dataValidation type="list" allowBlank="1" showInputMessage="1" showErrorMessage="1" sqref="I30:K35">
      <formula1>$O$3:$O$21</formula1>
    </dataValidation>
    <dataValidation allowBlank="1" showErrorMessage="1" promptTitle="Do not change" sqref="B29"/>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5"/>
  <sheetViews>
    <sheetView view="pageBreakPreview" topLeftCell="A19" zoomScale="60" zoomScaleNormal="100" workbookViewId="0">
      <selection activeCell="C67" sqref="C67"/>
    </sheetView>
  </sheetViews>
  <sheetFormatPr defaultColWidth="9.109375" defaultRowHeight="13.2" x14ac:dyDescent="0.25"/>
  <cols>
    <col min="1" max="1" width="0.88671875" style="83" customWidth="1"/>
    <col min="2" max="2" width="2.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175</v>
      </c>
      <c r="B1" s="2"/>
      <c r="C1" s="2"/>
      <c r="D1" s="2"/>
      <c r="E1" s="2"/>
      <c r="F1" s="2"/>
      <c r="G1" s="2"/>
      <c r="H1" s="2"/>
      <c r="I1" s="2"/>
      <c r="J1" s="2"/>
      <c r="K1" s="2"/>
      <c r="L1" s="2"/>
      <c r="M1" s="2"/>
      <c r="O1" s="4"/>
      <c r="P1" s="4"/>
      <c r="Q1" s="4"/>
      <c r="R1" s="4"/>
      <c r="S1" s="5"/>
      <c r="T1" s="83" t="s">
        <v>236</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29855258</v>
      </c>
      <c r="F5" s="18">
        <v>28245389</v>
      </c>
      <c r="G5" s="18">
        <v>29843504</v>
      </c>
      <c r="I5" s="86" t="s">
        <v>38</v>
      </c>
      <c r="J5" s="73"/>
      <c r="K5" s="73"/>
      <c r="L5" s="73">
        <v>-420000</v>
      </c>
      <c r="O5" s="15" t="s">
        <v>4</v>
      </c>
      <c r="S5" s="10">
        <f t="shared" si="0"/>
        <v>0</v>
      </c>
    </row>
    <row r="6" spans="1:20" x14ac:dyDescent="0.25">
      <c r="B6" s="16" t="s">
        <v>7</v>
      </c>
      <c r="C6" s="17"/>
      <c r="D6" s="12"/>
      <c r="E6" s="18">
        <v>12409811</v>
      </c>
      <c r="F6" s="18">
        <v>12289811</v>
      </c>
      <c r="G6" s="18">
        <f>+G5-17455578</f>
        <v>12387926</v>
      </c>
      <c r="I6" s="87" t="s">
        <v>39</v>
      </c>
      <c r="J6" s="18">
        <v>-562000</v>
      </c>
      <c r="K6" s="18">
        <v>-186000</v>
      </c>
      <c r="L6" s="18">
        <v>-294000</v>
      </c>
      <c r="O6" s="15" t="s">
        <v>6</v>
      </c>
      <c r="S6" s="10">
        <f t="shared" si="0"/>
        <v>0</v>
      </c>
    </row>
    <row r="7" spans="1:20" x14ac:dyDescent="0.25">
      <c r="B7" s="21" t="s">
        <v>9</v>
      </c>
      <c r="C7" s="22"/>
      <c r="D7" s="23"/>
      <c r="E7" s="24">
        <v>12823749</v>
      </c>
      <c r="F7" s="24">
        <v>12808089</v>
      </c>
      <c r="G7" s="24">
        <f>G6-L6</f>
        <v>12681926</v>
      </c>
      <c r="I7" s="87" t="s">
        <v>40</v>
      </c>
      <c r="J7" s="18">
        <v>-464000</v>
      </c>
      <c r="K7" s="18">
        <v>-347000</v>
      </c>
      <c r="L7" s="18">
        <f>+L59</f>
        <v>-408000</v>
      </c>
      <c r="O7" s="15" t="s">
        <v>8</v>
      </c>
      <c r="P7" s="20"/>
      <c r="S7" s="10">
        <f t="shared" si="0"/>
        <v>0</v>
      </c>
    </row>
    <row r="8" spans="1:20" x14ac:dyDescent="0.25">
      <c r="B8" s="26" t="s">
        <v>11</v>
      </c>
      <c r="C8" s="27"/>
      <c r="D8" s="28"/>
      <c r="E8" s="29">
        <v>-413938</v>
      </c>
      <c r="F8" s="29">
        <v>-518278</v>
      </c>
      <c r="G8" s="29">
        <f>G6-G7</f>
        <v>-294000</v>
      </c>
      <c r="I8" s="88" t="s">
        <v>43</v>
      </c>
      <c r="J8" s="74">
        <f>E8</f>
        <v>-413938</v>
      </c>
      <c r="K8" s="74">
        <f>F8</f>
        <v>-518278</v>
      </c>
      <c r="L8" s="74"/>
      <c r="O8" s="15" t="s">
        <v>10</v>
      </c>
      <c r="P8" s="25"/>
      <c r="S8" s="10">
        <f t="shared" si="0"/>
        <v>0</v>
      </c>
    </row>
    <row r="9" spans="1:20" x14ac:dyDescent="0.25">
      <c r="B9" s="32" t="s">
        <v>37</v>
      </c>
      <c r="C9" s="33"/>
      <c r="D9" s="23"/>
      <c r="E9" s="34">
        <f>IF(ISERROR(IF(E8=0,"",(E8/$E$5))),"",(IF(E8=0,"",(E8/$E$5))))</f>
        <v>-1.3864827428387991E-2</v>
      </c>
      <c r="F9" s="34">
        <f>IF(ISERROR(IF(F8=0,"",(F8/$F$5))),"",(IF(F8=0,"",(F8/$F$5))))</f>
        <v>-1.8349118859719016E-2</v>
      </c>
      <c r="G9" s="34">
        <f>IF(ISERROR(IF(G8=0,"",(G8/$G$5))),"",(IF(G8=0,"",(G8/$G$5))))</f>
        <v>-9.8513901048616816E-3</v>
      </c>
      <c r="I9" s="83" t="s">
        <v>42</v>
      </c>
      <c r="O9" s="15" t="s">
        <v>12</v>
      </c>
      <c r="P9" s="30"/>
      <c r="Q9" s="19"/>
      <c r="R9" s="31"/>
      <c r="S9" s="10">
        <f t="shared" si="0"/>
        <v>0</v>
      </c>
    </row>
    <row r="10" spans="1:20" x14ac:dyDescent="0.25">
      <c r="O10" s="15" t="s">
        <v>13</v>
      </c>
      <c r="P10" s="35"/>
      <c r="Q10" s="19"/>
      <c r="S10" s="10">
        <f t="shared" si="0"/>
        <v>88000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-196000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-300000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s="41" customFormat="1" ht="13.8" x14ac:dyDescent="0.25">
      <c r="A21" s="39"/>
      <c r="C21" s="6"/>
      <c r="D21" s="6"/>
      <c r="E21" s="6"/>
      <c r="F21" s="6"/>
      <c r="G21" s="6"/>
      <c r="H21" s="40"/>
      <c r="I21" s="40"/>
      <c r="K21" s="42"/>
      <c r="O21" s="15" t="s">
        <v>24</v>
      </c>
      <c r="P21" s="12"/>
      <c r="Q21" s="12"/>
      <c r="R21" s="12"/>
      <c r="S21" s="10">
        <f t="shared" si="0"/>
        <v>0</v>
      </c>
    </row>
    <row r="22" spans="1:19" s="41" customFormat="1" ht="13.8" x14ac:dyDescent="0.25">
      <c r="A22" s="39"/>
      <c r="B22" s="6" t="s">
        <v>25</v>
      </c>
      <c r="C22" s="251"/>
      <c r="D22" s="251"/>
      <c r="E22" s="251"/>
      <c r="F22" s="251"/>
      <c r="G22" s="251"/>
      <c r="H22" s="251"/>
      <c r="I22" s="251"/>
      <c r="J22" s="251"/>
      <c r="K22" s="251"/>
      <c r="L22" s="251"/>
      <c r="O22" s="15" t="s">
        <v>44</v>
      </c>
      <c r="P22" s="12"/>
      <c r="Q22" s="12"/>
      <c r="R22" s="12"/>
      <c r="S22" s="10">
        <f>SUM(S3:S21)</f>
        <v>-408000</v>
      </c>
    </row>
    <row r="23" spans="1:19" s="41" customFormat="1" ht="13.8" x14ac:dyDescent="0.25">
      <c r="A23" s="39"/>
      <c r="B23" s="571" t="s">
        <v>412</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3.8" x14ac:dyDescent="0.25">
      <c r="A28" s="39"/>
      <c r="B28" s="571"/>
      <c r="C28" s="571"/>
      <c r="D28" s="571"/>
      <c r="E28" s="571"/>
      <c r="F28" s="571"/>
      <c r="G28" s="571"/>
      <c r="H28" s="571"/>
      <c r="I28" s="571"/>
      <c r="J28" s="571"/>
      <c r="K28" s="571"/>
      <c r="L28" s="571"/>
      <c r="O28" s="15"/>
      <c r="P28" s="12"/>
      <c r="Q28" s="12"/>
      <c r="R28" s="12"/>
      <c r="S28" s="10"/>
    </row>
    <row r="29" spans="1:19" s="41" customFormat="1" ht="13.8" x14ac:dyDescent="0.25">
      <c r="A29" s="39"/>
      <c r="B29" s="571"/>
      <c r="C29" s="571"/>
      <c r="D29" s="571"/>
      <c r="E29" s="571"/>
      <c r="F29" s="571"/>
      <c r="G29" s="571"/>
      <c r="H29" s="571"/>
      <c r="I29" s="571"/>
      <c r="J29" s="571"/>
      <c r="K29" s="571"/>
      <c r="L29" s="571"/>
      <c r="O29" s="15"/>
      <c r="P29" s="12"/>
      <c r="Q29" s="12"/>
      <c r="R29" s="12"/>
      <c r="S29" s="10"/>
    </row>
    <row r="30" spans="1:19" s="41" customFormat="1" ht="13.8" x14ac:dyDescent="0.25">
      <c r="A30" s="39"/>
      <c r="B30" s="571"/>
      <c r="C30" s="571"/>
      <c r="D30" s="571"/>
      <c r="E30" s="571"/>
      <c r="F30" s="571"/>
      <c r="G30" s="571"/>
      <c r="H30" s="571"/>
      <c r="I30" s="571"/>
      <c r="J30" s="571"/>
      <c r="K30" s="571"/>
      <c r="L30" s="571"/>
      <c r="O30" s="15"/>
      <c r="P30" s="12"/>
      <c r="Q30" s="12"/>
      <c r="R30" s="12"/>
      <c r="S30" s="10"/>
    </row>
    <row r="31" spans="1:19" s="41" customFormat="1" ht="13.8"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39"/>
      <c r="B32" s="571"/>
      <c r="C32" s="571"/>
      <c r="D32" s="571"/>
      <c r="E32" s="571"/>
      <c r="F32" s="571"/>
      <c r="G32" s="571"/>
      <c r="H32" s="571"/>
      <c r="I32" s="571"/>
      <c r="J32" s="571"/>
      <c r="K32" s="571"/>
      <c r="L32" s="571"/>
      <c r="O32" s="15"/>
      <c r="P32" s="12"/>
      <c r="Q32" s="12"/>
      <c r="R32" s="12"/>
      <c r="S32" s="10"/>
    </row>
    <row r="33" spans="1:19" s="41" customFormat="1" ht="13.8" x14ac:dyDescent="0.25">
      <c r="A33" s="39"/>
      <c r="B33" s="571"/>
      <c r="C33" s="571"/>
      <c r="D33" s="571"/>
      <c r="E33" s="571"/>
      <c r="F33" s="571"/>
      <c r="G33" s="571"/>
      <c r="H33" s="571"/>
      <c r="I33" s="571"/>
      <c r="J33" s="571"/>
      <c r="K33" s="571"/>
      <c r="L33" s="571"/>
      <c r="O33" s="15"/>
      <c r="P33" s="12"/>
      <c r="Q33" s="12"/>
      <c r="R33" s="12"/>
      <c r="S33" s="10"/>
    </row>
    <row r="34" spans="1:19" s="41" customFormat="1" ht="13.8" x14ac:dyDescent="0.25">
      <c r="A34" s="39"/>
      <c r="B34" s="571"/>
      <c r="C34" s="571"/>
      <c r="D34" s="571"/>
      <c r="E34" s="571"/>
      <c r="F34" s="571"/>
      <c r="G34" s="571"/>
      <c r="H34" s="571"/>
      <c r="I34" s="571"/>
      <c r="J34" s="571"/>
      <c r="K34" s="571"/>
      <c r="L34" s="571"/>
      <c r="O34" s="15"/>
      <c r="P34" s="12"/>
      <c r="Q34" s="12"/>
      <c r="R34" s="12"/>
      <c r="S34" s="10"/>
    </row>
    <row r="35" spans="1:19" s="41" customFormat="1" ht="13.8" x14ac:dyDescent="0.25">
      <c r="A35" s="39"/>
      <c r="B35" s="571"/>
      <c r="C35" s="571"/>
      <c r="D35" s="571"/>
      <c r="E35" s="571"/>
      <c r="F35" s="571"/>
      <c r="G35" s="571"/>
      <c r="H35" s="571"/>
      <c r="I35" s="571"/>
      <c r="J35" s="571"/>
      <c r="K35" s="571"/>
      <c r="L35" s="571"/>
      <c r="O35" s="15"/>
      <c r="P35" s="12"/>
      <c r="Q35" s="12"/>
      <c r="R35" s="12"/>
      <c r="S35" s="10"/>
    </row>
    <row r="36" spans="1:19" s="41" customFormat="1" ht="13.8" x14ac:dyDescent="0.25">
      <c r="A36" s="39"/>
      <c r="B36" s="571"/>
      <c r="C36" s="571"/>
      <c r="D36" s="571"/>
      <c r="E36" s="571"/>
      <c r="F36" s="571"/>
      <c r="G36" s="571"/>
      <c r="H36" s="571"/>
      <c r="I36" s="571"/>
      <c r="J36" s="571"/>
      <c r="K36" s="571"/>
      <c r="L36" s="571"/>
      <c r="O36" s="15"/>
      <c r="P36" s="12"/>
      <c r="Q36" s="12"/>
      <c r="R36" s="12"/>
      <c r="S36" s="10"/>
    </row>
    <row r="37" spans="1:19" s="41" customFormat="1" ht="13.8" x14ac:dyDescent="0.25">
      <c r="A37" s="39"/>
      <c r="B37" s="571"/>
      <c r="C37" s="571"/>
      <c r="D37" s="571"/>
      <c r="E37" s="571"/>
      <c r="F37" s="571"/>
      <c r="G37" s="571"/>
      <c r="H37" s="571"/>
      <c r="I37" s="571"/>
      <c r="J37" s="571"/>
      <c r="K37" s="571"/>
      <c r="L37" s="571"/>
      <c r="O37" s="15"/>
      <c r="P37" s="12"/>
      <c r="Q37" s="12"/>
      <c r="R37" s="12"/>
      <c r="S37" s="10"/>
    </row>
    <row r="38" spans="1:19" s="41" customFormat="1" ht="13.8" x14ac:dyDescent="0.25">
      <c r="A38" s="39"/>
      <c r="B38" s="571"/>
      <c r="C38" s="571"/>
      <c r="D38" s="571"/>
      <c r="E38" s="571"/>
      <c r="F38" s="571"/>
      <c r="G38" s="571"/>
      <c r="H38" s="571"/>
      <c r="I38" s="571"/>
      <c r="J38" s="571"/>
      <c r="K38" s="571"/>
      <c r="L38" s="571"/>
      <c r="O38" s="15"/>
      <c r="P38" s="12"/>
      <c r="Q38" s="12"/>
      <c r="R38" s="12"/>
      <c r="S38" s="10"/>
    </row>
    <row r="39" spans="1:19" s="41" customFormat="1" ht="13.8" x14ac:dyDescent="0.25">
      <c r="A39" s="39"/>
      <c r="B39" s="571"/>
      <c r="C39" s="571"/>
      <c r="D39" s="571"/>
      <c r="E39" s="571"/>
      <c r="F39" s="571"/>
      <c r="G39" s="571"/>
      <c r="H39" s="571"/>
      <c r="I39" s="571"/>
      <c r="J39" s="571"/>
      <c r="K39" s="571"/>
      <c r="L39" s="571"/>
      <c r="O39" s="15"/>
      <c r="P39" s="12"/>
      <c r="Q39" s="12"/>
      <c r="R39" s="12"/>
      <c r="S39" s="10"/>
    </row>
    <row r="40" spans="1:19" s="41" customFormat="1" ht="13.8" x14ac:dyDescent="0.25">
      <c r="A40" s="39"/>
      <c r="B40" s="571"/>
      <c r="C40" s="571"/>
      <c r="D40" s="571"/>
      <c r="E40" s="571"/>
      <c r="F40" s="571"/>
      <c r="G40" s="571"/>
      <c r="H40" s="571"/>
      <c r="I40" s="571"/>
      <c r="J40" s="571"/>
      <c r="K40" s="571"/>
      <c r="L40" s="571"/>
      <c r="O40" s="15"/>
      <c r="P40" s="12"/>
      <c r="Q40" s="12"/>
      <c r="R40" s="12"/>
      <c r="S40" s="10"/>
    </row>
    <row r="41" spans="1:19" s="41" customFormat="1" ht="13.8" x14ac:dyDescent="0.25">
      <c r="A41" s="39"/>
      <c r="B41" s="571"/>
      <c r="C41" s="571"/>
      <c r="D41" s="571"/>
      <c r="E41" s="571"/>
      <c r="F41" s="571"/>
      <c r="G41" s="571"/>
      <c r="H41" s="571"/>
      <c r="I41" s="571"/>
      <c r="J41" s="571"/>
      <c r="K41" s="571"/>
      <c r="L41" s="571"/>
      <c r="O41" s="15"/>
      <c r="P41" s="12"/>
      <c r="Q41" s="12"/>
      <c r="R41" s="12"/>
      <c r="S41" s="10"/>
    </row>
    <row r="42" spans="1:19" s="41" customFormat="1" ht="13.8" x14ac:dyDescent="0.25">
      <c r="A42" s="39"/>
      <c r="B42" s="571"/>
      <c r="C42" s="571"/>
      <c r="D42" s="571"/>
      <c r="E42" s="571"/>
      <c r="F42" s="571"/>
      <c r="G42" s="571"/>
      <c r="H42" s="571"/>
      <c r="I42" s="571"/>
      <c r="J42" s="571"/>
      <c r="K42" s="571"/>
      <c r="L42" s="571"/>
      <c r="O42" s="15"/>
      <c r="P42" s="12"/>
      <c r="Q42" s="12"/>
      <c r="R42" s="12"/>
      <c r="S42" s="10"/>
    </row>
    <row r="43" spans="1:19" s="41" customFormat="1" ht="13.8" x14ac:dyDescent="0.25">
      <c r="A43" s="39"/>
      <c r="B43" s="571"/>
      <c r="C43" s="571"/>
      <c r="D43" s="571"/>
      <c r="E43" s="571"/>
      <c r="F43" s="571"/>
      <c r="G43" s="571"/>
      <c r="H43" s="571"/>
      <c r="I43" s="571"/>
      <c r="J43" s="571"/>
      <c r="K43" s="571"/>
      <c r="L43" s="571"/>
      <c r="O43" s="15"/>
      <c r="P43" s="12"/>
      <c r="Q43" s="12"/>
      <c r="R43" s="12"/>
      <c r="S43" s="10"/>
    </row>
    <row r="44" spans="1:19" s="41" customFormat="1" ht="13.8" x14ac:dyDescent="0.25">
      <c r="A44" s="39"/>
      <c r="B44" s="571"/>
      <c r="C44" s="571"/>
      <c r="D44" s="571"/>
      <c r="E44" s="571"/>
      <c r="F44" s="571"/>
      <c r="G44" s="571"/>
      <c r="H44" s="571"/>
      <c r="I44" s="571"/>
      <c r="J44" s="571"/>
      <c r="K44" s="571"/>
      <c r="L44" s="571"/>
      <c r="O44" s="15"/>
      <c r="P44" s="12"/>
      <c r="Q44" s="12"/>
      <c r="R44" s="12"/>
      <c r="S44" s="10"/>
    </row>
    <row r="45" spans="1:19" s="41" customFormat="1" ht="13.8" x14ac:dyDescent="0.25">
      <c r="A45" s="39"/>
      <c r="B45" s="571"/>
      <c r="C45" s="571"/>
      <c r="D45" s="571"/>
      <c r="E45" s="571"/>
      <c r="F45" s="571"/>
      <c r="G45" s="571"/>
      <c r="H45" s="571"/>
      <c r="I45" s="571"/>
      <c r="J45" s="571"/>
      <c r="K45" s="571"/>
      <c r="L45" s="571"/>
      <c r="O45" s="15"/>
      <c r="P45" s="12"/>
      <c r="Q45" s="12"/>
      <c r="R45" s="12"/>
      <c r="S45" s="10"/>
    </row>
    <row r="46" spans="1:19" s="41" customFormat="1" ht="13.8" x14ac:dyDescent="0.25">
      <c r="A46" s="39"/>
      <c r="B46" s="571"/>
      <c r="C46" s="571"/>
      <c r="D46" s="571"/>
      <c r="E46" s="571"/>
      <c r="F46" s="571"/>
      <c r="G46" s="571"/>
      <c r="H46" s="571"/>
      <c r="I46" s="571"/>
      <c r="J46" s="571"/>
      <c r="K46" s="571"/>
      <c r="L46" s="571"/>
      <c r="O46" s="15"/>
      <c r="P46" s="12"/>
      <c r="Q46" s="12"/>
      <c r="R46" s="12"/>
      <c r="S46" s="10"/>
    </row>
    <row r="47" spans="1:19" s="41" customFormat="1" ht="13.8" x14ac:dyDescent="0.25">
      <c r="A47" s="39"/>
      <c r="B47" s="571"/>
      <c r="C47" s="571"/>
      <c r="D47" s="571"/>
      <c r="E47" s="571"/>
      <c r="F47" s="571"/>
      <c r="G47" s="571"/>
      <c r="H47" s="571"/>
      <c r="I47" s="571"/>
      <c r="J47" s="571"/>
      <c r="K47" s="571"/>
      <c r="L47" s="571"/>
      <c r="O47" s="15"/>
      <c r="P47" s="12"/>
      <c r="Q47" s="12"/>
      <c r="R47" s="12"/>
      <c r="S47" s="10"/>
    </row>
    <row r="48" spans="1:19" s="41" customFormat="1" ht="13.8" x14ac:dyDescent="0.25">
      <c r="A48" s="39"/>
      <c r="B48" s="571"/>
      <c r="C48" s="571"/>
      <c r="D48" s="571"/>
      <c r="E48" s="571"/>
      <c r="F48" s="571"/>
      <c r="G48" s="571"/>
      <c r="H48" s="571"/>
      <c r="I48" s="571"/>
      <c r="J48" s="571"/>
      <c r="K48" s="571"/>
      <c r="L48" s="571"/>
      <c r="O48" s="15"/>
      <c r="P48" s="12"/>
      <c r="Q48" s="12"/>
      <c r="R48" s="12"/>
      <c r="S48" s="10"/>
    </row>
    <row r="49" spans="1:23" s="41" customFormat="1" ht="13.8" x14ac:dyDescent="0.25">
      <c r="A49" s="39"/>
      <c r="B49" s="571"/>
      <c r="C49" s="571"/>
      <c r="D49" s="571"/>
      <c r="E49" s="571"/>
      <c r="F49" s="571"/>
      <c r="G49" s="571"/>
      <c r="H49" s="571"/>
      <c r="I49" s="571"/>
      <c r="J49" s="571"/>
      <c r="K49" s="571"/>
      <c r="L49" s="571"/>
      <c r="O49" s="15"/>
      <c r="P49" s="12"/>
      <c r="Q49" s="12"/>
      <c r="R49" s="12"/>
      <c r="S49" s="10"/>
    </row>
    <row r="50" spans="1:23" s="41" customFormat="1" ht="5.25" customHeight="1" x14ac:dyDescent="0.25">
      <c r="A50" s="44"/>
      <c r="B50" s="44"/>
      <c r="C50" s="44"/>
      <c r="D50" s="44"/>
      <c r="E50" s="44"/>
      <c r="F50" s="44"/>
      <c r="G50" s="44"/>
      <c r="H50" s="45"/>
      <c r="I50" s="45"/>
      <c r="J50" s="46"/>
      <c r="K50" s="47"/>
      <c r="L50" s="47"/>
      <c r="M50" s="47"/>
      <c r="O50" s="15"/>
      <c r="P50" s="12"/>
      <c r="Q50" s="12"/>
      <c r="R50" s="12"/>
      <c r="S50" s="37"/>
    </row>
    <row r="51" spans="1:23" s="41" customFormat="1" ht="13.8" x14ac:dyDescent="0.25">
      <c r="A51" s="43"/>
      <c r="B51" s="48" t="s">
        <v>26</v>
      </c>
      <c r="D51" s="42"/>
      <c r="E51" s="42"/>
      <c r="F51" s="42"/>
      <c r="G51" s="42"/>
      <c r="H51" s="49"/>
      <c r="I51" s="50"/>
      <c r="J51" s="51"/>
      <c r="K51" s="51"/>
      <c r="O51" s="15"/>
      <c r="P51" s="12"/>
      <c r="Q51" s="12"/>
      <c r="R51" s="12"/>
      <c r="S51" s="37"/>
    </row>
    <row r="52" spans="1:23" s="41" customFormat="1" ht="13.8" x14ac:dyDescent="0.25">
      <c r="A52" s="43"/>
      <c r="B52" s="52"/>
      <c r="D52" s="42"/>
      <c r="E52" s="42"/>
      <c r="F52" s="42"/>
      <c r="G52" s="42"/>
      <c r="H52" s="53"/>
      <c r="I52" s="53" t="s">
        <v>27</v>
      </c>
      <c r="J52" s="42"/>
      <c r="L52" s="54" t="s">
        <v>28</v>
      </c>
      <c r="O52" s="15"/>
      <c r="P52" s="12"/>
      <c r="Q52" s="12"/>
      <c r="R52" s="12"/>
      <c r="S52" s="37"/>
    </row>
    <row r="53" spans="1:23" s="41" customFormat="1" ht="13.8" x14ac:dyDescent="0.25">
      <c r="A53" s="43"/>
      <c r="B53" s="55" t="s">
        <v>29</v>
      </c>
      <c r="C53" s="260" t="s">
        <v>340</v>
      </c>
      <c r="D53" s="253"/>
      <c r="E53" s="253"/>
      <c r="F53" s="253"/>
      <c r="G53" s="261"/>
      <c r="H53" s="261"/>
      <c r="I53" s="266" t="s">
        <v>13</v>
      </c>
      <c r="J53" s="266"/>
      <c r="K53" s="266"/>
      <c r="L53" s="219">
        <v>200000</v>
      </c>
      <c r="M53" s="331" t="s">
        <v>206</v>
      </c>
      <c r="N53" s="331"/>
      <c r="O53" s="43"/>
      <c r="S53" s="40"/>
    </row>
    <row r="54" spans="1:23" s="41" customFormat="1" ht="13.8" x14ac:dyDescent="0.25">
      <c r="A54" s="43"/>
      <c r="B54" s="55" t="s">
        <v>30</v>
      </c>
      <c r="C54" s="264" t="s">
        <v>341</v>
      </c>
      <c r="D54" s="253"/>
      <c r="E54" s="253"/>
      <c r="F54" s="253"/>
      <c r="G54" s="261"/>
      <c r="H54" s="261"/>
      <c r="I54" s="575" t="s">
        <v>13</v>
      </c>
      <c r="J54" s="575"/>
      <c r="K54" s="575"/>
      <c r="L54" s="220">
        <v>-112000</v>
      </c>
      <c r="M54" s="331" t="s">
        <v>206</v>
      </c>
      <c r="N54" s="331"/>
      <c r="O54" s="43"/>
      <c r="S54" s="40"/>
    </row>
    <row r="55" spans="1:23" s="41" customFormat="1" ht="13.8" x14ac:dyDescent="0.25">
      <c r="A55" s="43"/>
      <c r="B55" s="55" t="s">
        <v>31</v>
      </c>
      <c r="C55" s="260" t="s">
        <v>342</v>
      </c>
      <c r="D55" s="253"/>
      <c r="E55" s="253"/>
      <c r="F55" s="253"/>
      <c r="G55" s="261"/>
      <c r="H55" s="261"/>
      <c r="I55" s="266" t="s">
        <v>16</v>
      </c>
      <c r="J55" s="266"/>
      <c r="K55" s="266"/>
      <c r="L55" s="220">
        <v>-196000</v>
      </c>
      <c r="M55" s="331" t="s">
        <v>206</v>
      </c>
      <c r="N55" s="331"/>
      <c r="O55" s="43"/>
      <c r="S55" s="40"/>
    </row>
    <row r="56" spans="1:23" s="41" customFormat="1" ht="13.8" x14ac:dyDescent="0.25">
      <c r="A56" s="43"/>
      <c r="B56" s="55" t="s">
        <v>32</v>
      </c>
      <c r="C56" s="260" t="s">
        <v>343</v>
      </c>
      <c r="D56" s="253"/>
      <c r="E56" s="253"/>
      <c r="F56" s="253"/>
      <c r="G56" s="261"/>
      <c r="H56" s="261"/>
      <c r="I56" s="266" t="s">
        <v>19</v>
      </c>
      <c r="J56" s="266"/>
      <c r="K56" s="266"/>
      <c r="L56" s="220">
        <v>-300000</v>
      </c>
      <c r="M56" s="331" t="s">
        <v>206</v>
      </c>
      <c r="O56" s="43"/>
      <c r="S56" s="40"/>
    </row>
    <row r="57" spans="1:23" s="41" customFormat="1" ht="13.8" hidden="1" x14ac:dyDescent="0.25">
      <c r="A57" s="43"/>
      <c r="B57" s="55" t="s">
        <v>33</v>
      </c>
      <c r="C57" s="260"/>
      <c r="D57" s="253"/>
      <c r="E57" s="253"/>
      <c r="F57" s="253"/>
      <c r="G57" s="261"/>
      <c r="H57" s="261"/>
      <c r="I57" s="266"/>
      <c r="J57" s="266"/>
      <c r="K57" s="266"/>
      <c r="L57" s="220"/>
      <c r="M57" s="331" t="s">
        <v>206</v>
      </c>
      <c r="O57" s="43"/>
      <c r="S57" s="40"/>
    </row>
    <row r="58" spans="1:23" s="41" customFormat="1" ht="13.8" hidden="1" x14ac:dyDescent="0.25">
      <c r="A58" s="43"/>
      <c r="B58" s="55" t="s">
        <v>181</v>
      </c>
      <c r="C58" s="260"/>
      <c r="D58" s="253"/>
      <c r="E58" s="253"/>
      <c r="F58" s="253"/>
      <c r="G58" s="261"/>
      <c r="H58" s="261"/>
      <c r="I58" s="266"/>
      <c r="J58" s="266"/>
      <c r="K58" s="266"/>
      <c r="L58" s="220"/>
      <c r="M58" s="331" t="s">
        <v>206</v>
      </c>
      <c r="O58" s="43"/>
      <c r="S58" s="40"/>
    </row>
    <row r="59" spans="1:23" s="62" customFormat="1" ht="14.4" thickBot="1" x14ac:dyDescent="0.3">
      <c r="A59" s="60"/>
      <c r="B59" s="61" t="s">
        <v>184</v>
      </c>
      <c r="E59" s="52"/>
      <c r="F59" s="52"/>
      <c r="G59" s="63"/>
      <c r="H59" s="51"/>
      <c r="I59" s="63"/>
      <c r="J59" s="42"/>
      <c r="L59" s="64">
        <f>SUM(L53:L58)</f>
        <v>-408000</v>
      </c>
      <c r="M59" s="41"/>
      <c r="N59" s="41"/>
      <c r="O59" s="43"/>
      <c r="P59" s="41"/>
      <c r="Q59" s="41"/>
      <c r="R59" s="41"/>
      <c r="S59" s="40"/>
    </row>
    <row r="60" spans="1:23" s="41" customFormat="1" ht="8.25" customHeight="1" thickTop="1" x14ac:dyDescent="0.25">
      <c r="A60" s="65"/>
      <c r="B60" s="66"/>
      <c r="C60" s="66"/>
      <c r="D60" s="66"/>
      <c r="E60" s="66"/>
      <c r="F60" s="66"/>
      <c r="G60" s="66"/>
      <c r="H60" s="66"/>
      <c r="I60" s="66"/>
      <c r="J60" s="67"/>
      <c r="K60" s="67"/>
      <c r="L60" s="47"/>
      <c r="M60" s="47"/>
      <c r="O60" s="43"/>
      <c r="W60" s="40"/>
    </row>
    <row r="61" spans="1:23" s="41" customFormat="1" ht="3.75" customHeight="1" x14ac:dyDescent="0.25">
      <c r="A61" s="39"/>
      <c r="B61" s="68"/>
      <c r="C61" s="68"/>
      <c r="D61" s="68"/>
      <c r="E61" s="68"/>
      <c r="F61" s="68"/>
      <c r="G61" s="68"/>
      <c r="H61" s="68"/>
      <c r="I61" s="68"/>
      <c r="J61" s="69"/>
      <c r="K61" s="69"/>
      <c r="O61" s="43"/>
      <c r="W61" s="40"/>
    </row>
    <row r="62" spans="1:23" s="41" customFormat="1" ht="13.8" x14ac:dyDescent="0.25">
      <c r="A62" s="43"/>
      <c r="B62" s="6" t="s">
        <v>34</v>
      </c>
      <c r="C62" s="70"/>
      <c r="D62" s="70"/>
      <c r="E62" s="70"/>
      <c r="F62" s="70"/>
      <c r="G62" s="70"/>
      <c r="H62" s="70"/>
      <c r="I62" s="70"/>
      <c r="J62" s="89"/>
      <c r="K62" s="89"/>
      <c r="O62" s="43"/>
      <c r="W62" s="40"/>
    </row>
    <row r="63" spans="1:23" ht="14.4" thickBot="1" x14ac:dyDescent="0.3">
      <c r="A63" s="342"/>
      <c r="B63" s="342"/>
      <c r="C63" s="342"/>
      <c r="D63" s="342"/>
      <c r="E63" s="342"/>
      <c r="F63" s="342"/>
      <c r="G63" s="342"/>
      <c r="H63" s="342"/>
      <c r="I63" s="342"/>
      <c r="J63" s="342"/>
      <c r="K63" s="342"/>
      <c r="L63" s="342"/>
      <c r="M63" s="342"/>
      <c r="O63" s="41"/>
      <c r="P63" s="41"/>
      <c r="Q63" s="41"/>
      <c r="R63" s="41"/>
      <c r="S63" s="40"/>
    </row>
    <row r="64" spans="1:23" ht="13.8" x14ac:dyDescent="0.25">
      <c r="A64" s="511"/>
      <c r="B64" s="511"/>
      <c r="C64" s="511"/>
      <c r="D64" s="115"/>
      <c r="E64" s="115"/>
      <c r="F64" s="115"/>
      <c r="G64" s="115"/>
      <c r="H64" s="115"/>
      <c r="I64" s="115"/>
      <c r="J64" s="115"/>
      <c r="K64" s="115"/>
      <c r="L64" s="115"/>
      <c r="M64" s="115"/>
      <c r="O64" s="41"/>
      <c r="P64" s="41"/>
      <c r="Q64" s="41"/>
      <c r="R64" s="41"/>
      <c r="S64" s="40"/>
    </row>
    <row r="65" spans="1:19" ht="13.8" x14ac:dyDescent="0.25">
      <c r="A65" s="115"/>
      <c r="B65" s="115"/>
      <c r="C65" s="115"/>
      <c r="D65" s="115"/>
      <c r="E65" s="115"/>
      <c r="F65" s="115"/>
      <c r="G65" s="115"/>
      <c r="H65" s="115"/>
      <c r="I65" s="115"/>
      <c r="J65" s="115"/>
      <c r="K65" s="115"/>
      <c r="L65" s="115"/>
      <c r="M65" s="115"/>
      <c r="N65" s="115"/>
      <c r="O65" s="62"/>
      <c r="P65" s="62"/>
      <c r="Q65" s="62"/>
      <c r="R65" s="62"/>
      <c r="S65" s="59"/>
    </row>
  </sheetData>
  <mergeCells count="2">
    <mergeCell ref="I54:K54"/>
    <mergeCell ref="B23:L49"/>
  </mergeCells>
  <dataValidations count="3">
    <dataValidation type="list" allowBlank="1" showInputMessage="1" showErrorMessage="1" sqref="G53:G58">
      <formula1>$O$17:$O$19</formula1>
    </dataValidation>
    <dataValidation type="list" allowBlank="1" showInputMessage="1" showErrorMessage="1" sqref="I53:K58">
      <formula1>$O$3:$O$20</formula1>
    </dataValidation>
    <dataValidation allowBlank="1" showErrorMessage="1" promptTitle="Do not change" sqref="B52"/>
  </dataValidations>
  <printOptions horizontalCentered="1"/>
  <pageMargins left="0.19685039370078741" right="0.19685039370078741" top="0.55118110236220474" bottom="0.43307086614173229" header="0.23622047244094491" footer="0.23622047244094491"/>
  <pageSetup scale="87"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W53"/>
  <sheetViews>
    <sheetView view="pageBreakPreview" zoomScale="60" zoomScaleNormal="8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8" width="10.88671875" style="12" customWidth="1"/>
    <col min="19" max="19" width="10.88671875" style="37" customWidth="1"/>
    <col min="20" max="20" width="10.88671875" style="83" customWidth="1"/>
    <col min="21" max="16384" width="9.109375" style="83"/>
  </cols>
  <sheetData>
    <row r="1" spans="1:20" ht="15.6" x14ac:dyDescent="0.25">
      <c r="A1" s="1" t="s">
        <v>176</v>
      </c>
      <c r="B1" s="2"/>
      <c r="C1" s="2"/>
      <c r="D1" s="2"/>
      <c r="E1" s="2"/>
      <c r="F1" s="2"/>
      <c r="G1" s="2"/>
      <c r="H1" s="2"/>
      <c r="I1" s="2"/>
      <c r="J1" s="2"/>
      <c r="K1" s="2"/>
      <c r="L1" s="2"/>
      <c r="M1" s="2"/>
      <c r="O1" s="4"/>
      <c r="P1" s="4"/>
      <c r="Q1" s="4"/>
      <c r="R1" s="4"/>
      <c r="S1" s="5"/>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c r="T3" s="210"/>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1236257</v>
      </c>
      <c r="F5" s="18">
        <v>1337100</v>
      </c>
      <c r="G5" s="18">
        <v>966502</v>
      </c>
      <c r="I5" s="86" t="s">
        <v>38</v>
      </c>
      <c r="J5" s="73"/>
      <c r="K5" s="73"/>
      <c r="L5" s="73">
        <v>0</v>
      </c>
      <c r="O5" s="15" t="s">
        <v>4</v>
      </c>
      <c r="S5" s="10">
        <f t="shared" si="0"/>
        <v>0</v>
      </c>
    </row>
    <row r="6" spans="1:20" x14ac:dyDescent="0.25">
      <c r="B6" s="16" t="s">
        <v>7</v>
      </c>
      <c r="C6" s="17"/>
      <c r="D6" s="12"/>
      <c r="E6" s="18">
        <v>1236257</v>
      </c>
      <c r="F6" s="18">
        <v>1337100</v>
      </c>
      <c r="G6" s="18">
        <v>966502</v>
      </c>
      <c r="I6" s="87" t="s">
        <v>39</v>
      </c>
      <c r="J6" s="18">
        <v>-43000</v>
      </c>
      <c r="K6" s="18">
        <v>0</v>
      </c>
      <c r="L6" s="18">
        <v>-2000</v>
      </c>
      <c r="O6" s="15" t="s">
        <v>6</v>
      </c>
      <c r="S6" s="10">
        <f t="shared" si="0"/>
        <v>0</v>
      </c>
    </row>
    <row r="7" spans="1:20" x14ac:dyDescent="0.25">
      <c r="B7" s="21" t="s">
        <v>9</v>
      </c>
      <c r="C7" s="22"/>
      <c r="D7" s="23"/>
      <c r="E7" s="24">
        <v>1276431</v>
      </c>
      <c r="F7" s="24">
        <v>1330038</v>
      </c>
      <c r="G7" s="24">
        <f>G6-L6</f>
        <v>968502</v>
      </c>
      <c r="I7" s="87" t="s">
        <v>40</v>
      </c>
      <c r="J7" s="18">
        <v>-52000</v>
      </c>
      <c r="K7" s="18">
        <v>-6145</v>
      </c>
      <c r="L7" s="18">
        <f>+L35</f>
        <v>0</v>
      </c>
      <c r="O7" s="15" t="s">
        <v>8</v>
      </c>
      <c r="P7" s="20"/>
      <c r="S7" s="10">
        <f t="shared" si="0"/>
        <v>0</v>
      </c>
    </row>
    <row r="8" spans="1:20" x14ac:dyDescent="0.25">
      <c r="B8" s="26" t="s">
        <v>11</v>
      </c>
      <c r="C8" s="27"/>
      <c r="D8" s="28"/>
      <c r="E8" s="29">
        <v>-40174</v>
      </c>
      <c r="F8" s="29">
        <v>7062</v>
      </c>
      <c r="G8" s="29">
        <f>G6-G7</f>
        <v>-2000</v>
      </c>
      <c r="I8" s="88" t="s">
        <v>43</v>
      </c>
      <c r="J8" s="74">
        <f>E8</f>
        <v>-40174</v>
      </c>
      <c r="K8" s="74">
        <f>F8</f>
        <v>7062</v>
      </c>
      <c r="L8" s="74"/>
      <c r="O8" s="15" t="s">
        <v>10</v>
      </c>
      <c r="P8" s="25"/>
      <c r="S8" s="10">
        <f t="shared" si="0"/>
        <v>0</v>
      </c>
    </row>
    <row r="9" spans="1:20" x14ac:dyDescent="0.25">
      <c r="B9" s="32" t="s">
        <v>37</v>
      </c>
      <c r="C9" s="33"/>
      <c r="D9" s="23"/>
      <c r="E9" s="34">
        <f>IF(ISERROR(IF(E8=0,"",(E8/$E$5))),"",(IF(E8=0,"",(E8/$E$5))))</f>
        <v>-3.2496479291927165E-2</v>
      </c>
      <c r="F9" s="34">
        <f>IF(ISERROR(IF(F8=0,"",(F8/$F$5))),"",(IF(F8=0,"",(F8/$F$5))))</f>
        <v>5.2815795378056991E-3</v>
      </c>
      <c r="G9" s="34">
        <f>IF(ISERROR(IF(G8=0,"",(G8/$G$5))),"",(IF(G8=0,"",(G8/$G$5))))</f>
        <v>-2.0693180148618419E-3</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5" customHeight="1" x14ac:dyDescent="0.25">
      <c r="A23" s="39"/>
      <c r="B23" s="572" t="s">
        <v>378</v>
      </c>
      <c r="C23" s="572"/>
      <c r="D23" s="572"/>
      <c r="E23" s="572"/>
      <c r="F23" s="572"/>
      <c r="G23" s="572"/>
      <c r="H23" s="572"/>
      <c r="I23" s="572"/>
      <c r="J23" s="572"/>
      <c r="K23" s="572"/>
      <c r="L23" s="572"/>
      <c r="O23" s="15"/>
      <c r="P23" s="12"/>
      <c r="Q23" s="12"/>
      <c r="R23" s="12"/>
      <c r="S23" s="10"/>
    </row>
    <row r="24" spans="1:19" s="41" customFormat="1" ht="15" customHeight="1" x14ac:dyDescent="0.25">
      <c r="A24" s="39"/>
      <c r="B24" s="572"/>
      <c r="C24" s="572"/>
      <c r="D24" s="572"/>
      <c r="E24" s="572"/>
      <c r="F24" s="572"/>
      <c r="G24" s="572"/>
      <c r="H24" s="572"/>
      <c r="I24" s="572"/>
      <c r="J24" s="572"/>
      <c r="K24" s="572"/>
      <c r="L24" s="572"/>
      <c r="O24" s="15"/>
      <c r="P24" s="12"/>
      <c r="Q24" s="12"/>
      <c r="R24" s="12"/>
      <c r="S24" s="10"/>
    </row>
    <row r="25" spans="1:19" s="41" customFormat="1" ht="15" customHeight="1" x14ac:dyDescent="0.25">
      <c r="A25" s="39"/>
      <c r="B25" s="572"/>
      <c r="C25" s="572"/>
      <c r="D25" s="572"/>
      <c r="E25" s="572"/>
      <c r="F25" s="572"/>
      <c r="G25" s="572"/>
      <c r="H25" s="572"/>
      <c r="I25" s="572"/>
      <c r="J25" s="572"/>
      <c r="K25" s="572"/>
      <c r="L25" s="572"/>
      <c r="O25" s="15"/>
      <c r="P25" s="12"/>
      <c r="Q25" s="12"/>
      <c r="R25" s="12"/>
      <c r="S25" s="10"/>
    </row>
    <row r="26" spans="1:19" s="41" customFormat="1" ht="15" customHeight="1" x14ac:dyDescent="0.25">
      <c r="A26" s="39"/>
      <c r="B26" s="572"/>
      <c r="C26" s="572"/>
      <c r="D26" s="572"/>
      <c r="E26" s="572"/>
      <c r="F26" s="572"/>
      <c r="G26" s="572"/>
      <c r="H26" s="572"/>
      <c r="I26" s="572"/>
      <c r="J26" s="572"/>
      <c r="K26" s="572"/>
      <c r="L26" s="572"/>
      <c r="O26" s="15"/>
      <c r="P26" s="12"/>
      <c r="Q26" s="12"/>
      <c r="R26" s="12"/>
      <c r="S26" s="10"/>
    </row>
    <row r="27" spans="1:19" s="41" customFormat="1" ht="15" customHeight="1" x14ac:dyDescent="0.25">
      <c r="A27" s="39"/>
      <c r="B27" s="572"/>
      <c r="C27" s="572"/>
      <c r="D27" s="572"/>
      <c r="E27" s="572"/>
      <c r="F27" s="572"/>
      <c r="G27" s="572"/>
      <c r="H27" s="572"/>
      <c r="I27" s="572"/>
      <c r="J27" s="572"/>
      <c r="K27" s="572"/>
      <c r="L27" s="572"/>
      <c r="O27" s="15"/>
      <c r="P27" s="12"/>
      <c r="Q27" s="12"/>
      <c r="R27" s="12"/>
      <c r="S27" s="10"/>
    </row>
    <row r="28" spans="1:19" s="41" customFormat="1" ht="13.8" x14ac:dyDescent="0.25">
      <c r="A28" s="75"/>
      <c r="B28" s="572"/>
      <c r="C28" s="572"/>
      <c r="D28" s="572"/>
      <c r="E28" s="572"/>
      <c r="F28" s="572"/>
      <c r="G28" s="572"/>
      <c r="H28" s="572"/>
      <c r="I28" s="572"/>
      <c r="J28" s="572"/>
      <c r="K28" s="572"/>
      <c r="L28" s="572"/>
      <c r="O28" s="15"/>
      <c r="P28" s="12"/>
      <c r="Q28" s="12"/>
      <c r="R28" s="12"/>
      <c r="S28" s="10"/>
    </row>
    <row r="29" spans="1:19" s="41" customFormat="1" ht="5.25" customHeight="1" x14ac:dyDescent="0.25">
      <c r="A29" s="44"/>
      <c r="B29" s="44"/>
      <c r="C29" s="44"/>
      <c r="D29" s="44"/>
      <c r="E29" s="44"/>
      <c r="F29" s="44"/>
      <c r="G29" s="44"/>
      <c r="H29" s="45"/>
      <c r="I29" s="45"/>
      <c r="J29" s="46"/>
      <c r="K29" s="47"/>
      <c r="L29" s="47"/>
      <c r="M29" s="47"/>
      <c r="O29" s="15"/>
      <c r="P29" s="12"/>
      <c r="Q29" s="12"/>
      <c r="R29" s="12"/>
      <c r="S29" s="37"/>
    </row>
    <row r="30" spans="1:19" s="41" customFormat="1" ht="13.8" x14ac:dyDescent="0.25">
      <c r="A30" s="43"/>
      <c r="B30" s="48" t="s">
        <v>26</v>
      </c>
      <c r="D30" s="42"/>
      <c r="E30" s="42"/>
      <c r="F30" s="42"/>
      <c r="G30" s="42"/>
      <c r="H30" s="49"/>
      <c r="I30" s="50"/>
      <c r="J30" s="51"/>
      <c r="K30" s="51"/>
      <c r="O30" s="15"/>
      <c r="P30" s="12"/>
      <c r="Q30" s="12"/>
      <c r="R30" s="12"/>
      <c r="S30" s="37"/>
    </row>
    <row r="31" spans="1:19" s="41" customFormat="1" ht="13.8" x14ac:dyDescent="0.25">
      <c r="A31" s="43"/>
      <c r="D31" s="42"/>
      <c r="E31" s="42"/>
      <c r="F31" s="42"/>
      <c r="G31" s="42"/>
      <c r="H31" s="53"/>
      <c r="I31" s="53" t="s">
        <v>27</v>
      </c>
      <c r="J31" s="42"/>
      <c r="L31" s="54" t="s">
        <v>28</v>
      </c>
      <c r="O31" s="15"/>
      <c r="P31" s="12"/>
      <c r="Q31" s="12"/>
      <c r="R31" s="12"/>
      <c r="S31" s="37"/>
    </row>
    <row r="32" spans="1:19" s="41" customFormat="1" ht="13.8" x14ac:dyDescent="0.25">
      <c r="A32" s="43"/>
      <c r="B32" s="263" t="s">
        <v>29</v>
      </c>
      <c r="C32" s="333" t="s">
        <v>382</v>
      </c>
      <c r="D32" s="253"/>
      <c r="E32" s="253"/>
      <c r="F32" s="253"/>
      <c r="G32" s="253"/>
      <c r="H32" s="265"/>
      <c r="I32" s="575"/>
      <c r="J32" s="575"/>
      <c r="K32" s="575"/>
      <c r="L32" s="219">
        <v>0</v>
      </c>
      <c r="O32" s="15"/>
      <c r="P32" s="12"/>
      <c r="Q32" s="12"/>
      <c r="R32" s="12"/>
      <c r="S32" s="37"/>
    </row>
    <row r="33" spans="1:23" s="41" customFormat="1" ht="13.8" hidden="1" x14ac:dyDescent="0.25">
      <c r="A33" s="43"/>
      <c r="B33" s="262" t="s">
        <v>30</v>
      </c>
      <c r="C33" s="260"/>
      <c r="D33" s="253"/>
      <c r="E33" s="253"/>
      <c r="F33" s="253"/>
      <c r="G33" s="261"/>
      <c r="H33" s="261"/>
      <c r="I33" s="575"/>
      <c r="J33" s="575"/>
      <c r="K33" s="575"/>
      <c r="L33" s="219"/>
      <c r="O33" s="43"/>
      <c r="S33" s="40"/>
    </row>
    <row r="34" spans="1:23" s="41" customFormat="1" ht="13.8" hidden="1" x14ac:dyDescent="0.25">
      <c r="A34" s="43"/>
      <c r="B34" s="262" t="s">
        <v>31</v>
      </c>
      <c r="C34" s="260"/>
      <c r="D34" s="253"/>
      <c r="E34" s="253"/>
      <c r="F34" s="253"/>
      <c r="G34" s="261"/>
      <c r="H34" s="261"/>
      <c r="I34" s="575"/>
      <c r="J34" s="575"/>
      <c r="K34" s="575"/>
      <c r="L34" s="220"/>
      <c r="O34" s="43"/>
      <c r="S34" s="40"/>
    </row>
    <row r="35" spans="1:23" s="62" customFormat="1" ht="14.4" thickBot="1" x14ac:dyDescent="0.3">
      <c r="A35" s="60"/>
      <c r="B35" s="61" t="s">
        <v>184</v>
      </c>
      <c r="E35" s="52"/>
      <c r="F35" s="52"/>
      <c r="G35" s="63"/>
      <c r="H35" s="51"/>
      <c r="I35" s="63"/>
      <c r="J35" s="42"/>
      <c r="L35" s="64">
        <f>SUM(L32:L34)</f>
        <v>0</v>
      </c>
      <c r="M35" s="41"/>
      <c r="N35" s="41"/>
      <c r="O35" s="43"/>
      <c r="P35" s="41"/>
      <c r="Q35" s="41"/>
      <c r="R35" s="41"/>
      <c r="S35" s="40"/>
    </row>
    <row r="36" spans="1:23" s="41" customFormat="1" ht="8.25" customHeight="1" thickTop="1" x14ac:dyDescent="0.25">
      <c r="A36" s="65"/>
      <c r="B36" s="66"/>
      <c r="C36" s="66"/>
      <c r="D36" s="66"/>
      <c r="E36" s="66"/>
      <c r="F36" s="66"/>
      <c r="G36" s="66"/>
      <c r="H36" s="66"/>
      <c r="I36" s="66"/>
      <c r="J36" s="67"/>
      <c r="K36" s="67"/>
      <c r="L36" s="47"/>
      <c r="M36" s="47"/>
      <c r="O36" s="43"/>
      <c r="W36" s="40"/>
    </row>
    <row r="37" spans="1:23" s="41" customFormat="1" ht="3.75" customHeight="1" x14ac:dyDescent="0.25">
      <c r="A37" s="39"/>
      <c r="B37" s="68"/>
      <c r="C37" s="68"/>
      <c r="D37" s="68"/>
      <c r="E37" s="68"/>
      <c r="F37" s="68"/>
      <c r="G37" s="68"/>
      <c r="H37" s="68"/>
      <c r="I37" s="68"/>
      <c r="J37" s="69"/>
      <c r="K37" s="69"/>
      <c r="O37" s="43"/>
      <c r="W37" s="40"/>
    </row>
    <row r="38" spans="1:23" s="41" customFormat="1" ht="13.8" x14ac:dyDescent="0.25">
      <c r="A38" s="43"/>
      <c r="B38" s="6" t="s">
        <v>34</v>
      </c>
      <c r="C38" s="70"/>
      <c r="D38" s="70"/>
      <c r="E38" s="70"/>
      <c r="F38" s="70"/>
      <c r="G38" s="70"/>
      <c r="H38" s="70"/>
      <c r="I38" s="70"/>
      <c r="J38" s="89"/>
      <c r="K38" s="89"/>
      <c r="O38" s="43"/>
      <c r="W38" s="40"/>
    </row>
    <row r="39" spans="1:23" s="41" customFormat="1" ht="15" customHeight="1" x14ac:dyDescent="0.25">
      <c r="A39" s="43"/>
      <c r="B39" s="572"/>
      <c r="C39" s="572"/>
      <c r="D39" s="572"/>
      <c r="E39" s="572"/>
      <c r="F39" s="572"/>
      <c r="G39" s="572"/>
      <c r="H39" s="572"/>
      <c r="I39" s="572"/>
      <c r="J39" s="572"/>
      <c r="K39" s="572"/>
      <c r="L39" s="572"/>
      <c r="O39" s="43"/>
      <c r="W39" s="40"/>
    </row>
    <row r="40" spans="1:23" ht="13.8" x14ac:dyDescent="0.25">
      <c r="B40" s="572"/>
      <c r="C40" s="572"/>
      <c r="D40" s="572"/>
      <c r="E40" s="572"/>
      <c r="F40" s="572"/>
      <c r="G40" s="572"/>
      <c r="H40" s="572"/>
      <c r="I40" s="572"/>
      <c r="J40" s="572"/>
      <c r="K40" s="572"/>
      <c r="L40" s="572"/>
      <c r="M40" s="41"/>
      <c r="N40" s="41"/>
      <c r="O40" s="43"/>
      <c r="P40" s="41"/>
      <c r="Q40" s="41"/>
      <c r="R40" s="41"/>
      <c r="S40" s="40"/>
    </row>
    <row r="41" spans="1:23" s="41" customFormat="1" ht="8.25" customHeight="1" thickBot="1" x14ac:dyDescent="0.3">
      <c r="A41" s="77"/>
      <c r="B41" s="78"/>
      <c r="C41" s="78"/>
      <c r="D41" s="78"/>
      <c r="E41" s="78"/>
      <c r="F41" s="78"/>
      <c r="G41" s="78"/>
      <c r="H41" s="78"/>
      <c r="I41" s="78"/>
      <c r="J41" s="79"/>
      <c r="K41" s="79"/>
      <c r="L41" s="80"/>
      <c r="M41" s="80"/>
      <c r="O41" s="43"/>
      <c r="W41" s="40"/>
    </row>
    <row r="42" spans="1:23" s="41" customFormat="1" ht="6.75" customHeight="1" x14ac:dyDescent="0.25">
      <c r="A42" s="39"/>
      <c r="B42" s="68"/>
      <c r="C42" s="68"/>
      <c r="D42" s="68"/>
      <c r="E42" s="68"/>
      <c r="F42" s="68"/>
      <c r="G42" s="68"/>
      <c r="H42" s="68"/>
      <c r="I42" s="68"/>
      <c r="J42" s="69"/>
      <c r="K42" s="69"/>
      <c r="O42" s="43"/>
      <c r="W42" s="40"/>
    </row>
    <row r="43" spans="1:23" ht="13.8" x14ac:dyDescent="0.25">
      <c r="B43" s="48"/>
      <c r="L43" s="41"/>
      <c r="M43" s="41"/>
      <c r="N43" s="41"/>
      <c r="O43" s="43"/>
      <c r="P43" s="41"/>
      <c r="Q43" s="41"/>
      <c r="R43" s="41"/>
      <c r="S43" s="59"/>
    </row>
    <row r="44" spans="1:23" ht="11.25" customHeight="1" x14ac:dyDescent="0.25">
      <c r="B44" s="48"/>
      <c r="L44" s="41"/>
      <c r="M44" s="41"/>
      <c r="N44" s="41"/>
      <c r="O44" s="43"/>
      <c r="P44" s="41"/>
      <c r="Q44" s="41"/>
      <c r="R44" s="41"/>
      <c r="S44" s="59"/>
    </row>
    <row r="45" spans="1:23" ht="13.8" x14ac:dyDescent="0.25">
      <c r="L45" s="41"/>
      <c r="M45" s="41"/>
      <c r="N45" s="41"/>
      <c r="O45" s="43"/>
      <c r="P45" s="41"/>
      <c r="Q45" s="41"/>
      <c r="R45" s="41"/>
      <c r="S45" s="40"/>
    </row>
    <row r="46" spans="1:23" ht="13.8" x14ac:dyDescent="0.25">
      <c r="L46" s="41"/>
      <c r="M46" s="41"/>
      <c r="N46" s="41"/>
      <c r="O46" s="43"/>
      <c r="P46" s="41"/>
      <c r="Q46" s="41"/>
      <c r="R46" s="41"/>
      <c r="S46" s="40"/>
    </row>
    <row r="47" spans="1:23" ht="13.8" x14ac:dyDescent="0.25">
      <c r="O47" s="41"/>
      <c r="P47" s="41"/>
      <c r="Q47" s="41"/>
      <c r="R47" s="41"/>
      <c r="S47" s="40"/>
    </row>
    <row r="48" spans="1:23" ht="13.8" x14ac:dyDescent="0.25">
      <c r="O48" s="41"/>
      <c r="P48" s="41"/>
      <c r="Q48" s="41"/>
      <c r="R48" s="41"/>
      <c r="S48" s="40"/>
    </row>
    <row r="49" spans="15:19" ht="13.8" x14ac:dyDescent="0.25">
      <c r="O49" s="41"/>
      <c r="P49" s="41"/>
      <c r="Q49" s="41"/>
      <c r="R49" s="41"/>
      <c r="S49" s="40"/>
    </row>
    <row r="50" spans="15:19" ht="15.6" x14ac:dyDescent="0.3">
      <c r="O50" s="71"/>
      <c r="P50" s="71"/>
      <c r="Q50" s="71"/>
      <c r="R50" s="71"/>
      <c r="S50" s="72"/>
    </row>
    <row r="51" spans="15:19" ht="15.6" x14ac:dyDescent="0.3">
      <c r="O51" s="71"/>
      <c r="P51" s="71"/>
      <c r="Q51" s="71"/>
      <c r="R51" s="71"/>
      <c r="S51" s="72"/>
    </row>
    <row r="52" spans="15:19" ht="15.6" x14ac:dyDescent="0.3">
      <c r="O52" s="71"/>
      <c r="P52" s="71"/>
      <c r="Q52" s="71"/>
      <c r="R52" s="71"/>
      <c r="S52" s="72"/>
    </row>
    <row r="53" spans="15:19" ht="15.6" x14ac:dyDescent="0.3">
      <c r="O53" s="71"/>
      <c r="P53" s="71"/>
      <c r="Q53" s="71"/>
      <c r="R53" s="71"/>
      <c r="S53" s="72"/>
    </row>
  </sheetData>
  <mergeCells count="5">
    <mergeCell ref="B39:L40"/>
    <mergeCell ref="I33:K33"/>
    <mergeCell ref="I34:K34"/>
    <mergeCell ref="B23:L28"/>
    <mergeCell ref="I32:K32"/>
  </mergeCells>
  <dataValidations count="3">
    <dataValidation allowBlank="1" showErrorMessage="1" promptTitle="Do not change" sqref="B32"/>
    <dataValidation type="list" allowBlank="1" showInputMessage="1" showErrorMessage="1" sqref="G33:G34">
      <formula1>$O$17:$O$19</formula1>
    </dataValidation>
    <dataValidation type="list" allowBlank="1" showInputMessage="1" showErrorMessage="1" sqref="I32:K34">
      <formula1>$O$3:$O$21</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W52"/>
  <sheetViews>
    <sheetView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191</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7939359</v>
      </c>
      <c r="F5" s="18">
        <v>7939359</v>
      </c>
      <c r="G5" s="18">
        <v>7293932</v>
      </c>
      <c r="I5" s="86" t="s">
        <v>38</v>
      </c>
      <c r="J5" s="73"/>
      <c r="K5" s="73"/>
      <c r="L5" s="73">
        <v>0</v>
      </c>
      <c r="O5" s="15" t="s">
        <v>4</v>
      </c>
      <c r="S5" s="10">
        <f t="shared" si="0"/>
        <v>0</v>
      </c>
    </row>
    <row r="6" spans="1:19" x14ac:dyDescent="0.25">
      <c r="B6" s="16" t="s">
        <v>7</v>
      </c>
      <c r="C6" s="17"/>
      <c r="D6" s="12"/>
      <c r="E6" s="18">
        <v>7939359</v>
      </c>
      <c r="F6" s="18">
        <v>7939359</v>
      </c>
      <c r="G6" s="18">
        <v>7293932</v>
      </c>
      <c r="I6" s="87" t="s">
        <v>39</v>
      </c>
      <c r="J6" s="18">
        <v>0</v>
      </c>
      <c r="K6" s="18">
        <v>0</v>
      </c>
      <c r="L6" s="18">
        <v>0</v>
      </c>
      <c r="O6" s="15" t="s">
        <v>6</v>
      </c>
      <c r="S6" s="10">
        <f t="shared" si="0"/>
        <v>0</v>
      </c>
    </row>
    <row r="7" spans="1:19" x14ac:dyDescent="0.25">
      <c r="B7" s="21" t="s">
        <v>9</v>
      </c>
      <c r="C7" s="22"/>
      <c r="D7" s="23"/>
      <c r="E7" s="24">
        <v>7939359</v>
      </c>
      <c r="F7" s="24">
        <v>7939359</v>
      </c>
      <c r="G7" s="24">
        <f>G6-L6</f>
        <v>7293932</v>
      </c>
      <c r="I7" s="87" t="s">
        <v>40</v>
      </c>
      <c r="J7" s="18">
        <v>0</v>
      </c>
      <c r="K7" s="18">
        <v>0</v>
      </c>
      <c r="L7" s="18">
        <f>+L34</f>
        <v>0</v>
      </c>
      <c r="O7" s="15" t="s">
        <v>8</v>
      </c>
      <c r="P7" s="20"/>
      <c r="S7" s="10">
        <f t="shared" si="0"/>
        <v>0</v>
      </c>
    </row>
    <row r="8" spans="1:19" x14ac:dyDescent="0.25">
      <c r="B8" s="26" t="s">
        <v>11</v>
      </c>
      <c r="C8" s="27"/>
      <c r="D8" s="28"/>
      <c r="E8" s="29">
        <v>0</v>
      </c>
      <c r="F8" s="29">
        <v>0</v>
      </c>
      <c r="G8" s="29">
        <f>G6-G7</f>
        <v>0</v>
      </c>
      <c r="I8" s="88" t="s">
        <v>43</v>
      </c>
      <c r="J8" s="74">
        <f>E8</f>
        <v>0</v>
      </c>
      <c r="K8" s="74">
        <f>F8</f>
        <v>0</v>
      </c>
      <c r="L8" s="74"/>
      <c r="O8" s="15" t="s">
        <v>10</v>
      </c>
      <c r="P8" s="25"/>
      <c r="S8" s="10">
        <f t="shared" si="0"/>
        <v>0</v>
      </c>
    </row>
    <row r="9" spans="1:19" x14ac:dyDescent="0.25">
      <c r="B9" s="32" t="s">
        <v>37</v>
      </c>
      <c r="C9" s="33"/>
      <c r="D9" s="23"/>
      <c r="E9" s="34" t="str">
        <f>IF(ISERROR(IF(E8=0,"",(E8/$E$5))),"",(IF(E8=0,"",(E8/$E$5))))</f>
        <v/>
      </c>
      <c r="F9" s="34" t="str">
        <f>IF(ISERROR(IF(F8=0,"",(F8/$F$5))),"",(IF(F8=0,"",(F8/$F$5))))</f>
        <v/>
      </c>
      <c r="G9" s="34" t="str">
        <f>IF(ISERROR(IF(G8=0,"",(G8/$G$5))),"",(IF(G8=0,"",(G8/$G$5))))</f>
        <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5" customHeight="1" x14ac:dyDescent="0.25">
      <c r="A23" s="39"/>
      <c r="B23" s="572" t="s">
        <v>403</v>
      </c>
      <c r="C23" s="572"/>
      <c r="D23" s="572"/>
      <c r="E23" s="572"/>
      <c r="F23" s="572"/>
      <c r="G23" s="572"/>
      <c r="H23" s="572"/>
      <c r="I23" s="572"/>
      <c r="J23" s="572"/>
      <c r="K23" s="572"/>
      <c r="L23" s="572"/>
      <c r="M23" s="42"/>
      <c r="N23" s="42"/>
      <c r="O23" s="42"/>
      <c r="P23" s="42"/>
      <c r="Q23" s="42"/>
      <c r="R23" s="42"/>
      <c r="S23" s="10">
        <v>0</v>
      </c>
    </row>
    <row r="24" spans="1:19" s="41" customFormat="1" ht="13.8" x14ac:dyDescent="0.25">
      <c r="A24" s="39"/>
      <c r="B24" s="572"/>
      <c r="C24" s="572"/>
      <c r="D24" s="572"/>
      <c r="E24" s="572"/>
      <c r="F24" s="572"/>
      <c r="G24" s="572"/>
      <c r="H24" s="572"/>
      <c r="I24" s="572"/>
      <c r="J24" s="572"/>
      <c r="K24" s="572"/>
      <c r="L24" s="572"/>
      <c r="M24" s="42"/>
      <c r="N24" s="42"/>
      <c r="O24" s="42"/>
      <c r="P24" s="42"/>
      <c r="Q24" s="42"/>
      <c r="R24" s="42"/>
      <c r="S24" s="10"/>
    </row>
    <row r="25" spans="1:19" s="41" customFormat="1" ht="13.8" x14ac:dyDescent="0.25">
      <c r="B25" s="572"/>
      <c r="C25" s="572"/>
      <c r="D25" s="572"/>
      <c r="E25" s="572"/>
      <c r="F25" s="572"/>
      <c r="G25" s="572"/>
      <c r="H25" s="572"/>
      <c r="I25" s="572"/>
      <c r="J25" s="572"/>
      <c r="K25" s="572"/>
      <c r="L25" s="572"/>
      <c r="M25" s="42"/>
      <c r="N25" s="42"/>
      <c r="O25" s="42"/>
      <c r="P25" s="42"/>
      <c r="Q25" s="42"/>
      <c r="R25" s="42"/>
      <c r="S25" s="10"/>
    </row>
    <row r="26" spans="1:19" s="41" customFormat="1" ht="13.8" x14ac:dyDescent="0.25">
      <c r="B26" s="572"/>
      <c r="C26" s="572"/>
      <c r="D26" s="572"/>
      <c r="E26" s="572"/>
      <c r="F26" s="572"/>
      <c r="G26" s="572"/>
      <c r="H26" s="572"/>
      <c r="I26" s="572"/>
      <c r="J26" s="572"/>
      <c r="K26" s="572"/>
      <c r="L26" s="572"/>
      <c r="M26" s="254"/>
      <c r="N26" s="254"/>
      <c r="O26" s="254"/>
      <c r="P26" s="254"/>
      <c r="Q26" s="254"/>
      <c r="R26" s="254"/>
      <c r="S26" s="10"/>
    </row>
    <row r="27" spans="1:19" s="41" customFormat="1" ht="13.8" x14ac:dyDescent="0.25">
      <c r="B27" s="572"/>
      <c r="C27" s="572"/>
      <c r="D27" s="572"/>
      <c r="E27" s="572"/>
      <c r="F27" s="572"/>
      <c r="G27" s="572"/>
      <c r="H27" s="572"/>
      <c r="I27" s="572"/>
      <c r="J27" s="572"/>
      <c r="K27" s="572"/>
      <c r="L27" s="572"/>
      <c r="M27" s="254"/>
      <c r="N27" s="254"/>
      <c r="O27" s="254"/>
      <c r="P27" s="254"/>
      <c r="Q27" s="254"/>
      <c r="R27" s="254"/>
      <c r="S27" s="10"/>
    </row>
    <row r="28" spans="1:19" s="41" customFormat="1" ht="15.75" customHeight="1" x14ac:dyDescent="0.25">
      <c r="A28" s="39"/>
      <c r="B28" s="572"/>
      <c r="C28" s="572"/>
      <c r="D28" s="572"/>
      <c r="E28" s="572"/>
      <c r="F28" s="572"/>
      <c r="G28" s="572"/>
      <c r="H28" s="572"/>
      <c r="I28" s="572"/>
      <c r="J28" s="572"/>
      <c r="K28" s="572"/>
      <c r="L28" s="572"/>
      <c r="O28" s="15"/>
      <c r="P28" s="12"/>
      <c r="Q28" s="12"/>
      <c r="R28" s="12"/>
      <c r="S28" s="10"/>
    </row>
    <row r="29" spans="1:19" s="41" customFormat="1" ht="15.75" customHeight="1" x14ac:dyDescent="0.25">
      <c r="A29" s="39"/>
      <c r="B29" s="254"/>
      <c r="C29" s="254"/>
      <c r="D29" s="254"/>
      <c r="E29" s="254"/>
      <c r="F29" s="254"/>
      <c r="G29" s="254"/>
      <c r="H29" s="254"/>
      <c r="I29" s="254"/>
      <c r="J29" s="254"/>
      <c r="K29" s="254"/>
      <c r="L29" s="254"/>
      <c r="O29" s="15"/>
      <c r="P29" s="12"/>
      <c r="Q29" s="12"/>
      <c r="R29" s="12"/>
      <c r="S29" s="10"/>
    </row>
    <row r="30" spans="1:19" s="41" customFormat="1" ht="5.25" customHeight="1" x14ac:dyDescent="0.25">
      <c r="A30" s="44"/>
      <c r="B30" s="44"/>
      <c r="C30" s="44"/>
      <c r="D30" s="44"/>
      <c r="E30" s="44"/>
      <c r="F30" s="44"/>
      <c r="G30" s="44"/>
      <c r="H30" s="45"/>
      <c r="I30" s="45"/>
      <c r="J30" s="46"/>
      <c r="K30" s="47"/>
      <c r="L30" s="47"/>
      <c r="M30" s="47"/>
      <c r="O30" s="15"/>
      <c r="P30" s="12"/>
      <c r="Q30" s="12"/>
      <c r="R30" s="12"/>
      <c r="S30" s="37"/>
    </row>
    <row r="31" spans="1:19" s="41" customFormat="1" ht="13.8" x14ac:dyDescent="0.25">
      <c r="A31" s="43"/>
      <c r="B31" s="48" t="s">
        <v>26</v>
      </c>
      <c r="D31" s="42"/>
      <c r="E31" s="42"/>
      <c r="F31" s="42"/>
      <c r="G31" s="42"/>
      <c r="H31" s="49"/>
      <c r="I31" s="50"/>
      <c r="J31" s="51"/>
      <c r="K31" s="51"/>
      <c r="O31" s="15"/>
      <c r="P31" s="12"/>
      <c r="Q31" s="12"/>
      <c r="R31" s="12"/>
      <c r="S31" s="37"/>
    </row>
    <row r="32" spans="1:19" s="41" customFormat="1" ht="13.8" x14ac:dyDescent="0.25">
      <c r="A32" s="43"/>
      <c r="B32" s="52"/>
      <c r="D32" s="42"/>
      <c r="E32" s="42"/>
      <c r="F32" s="42"/>
      <c r="G32" s="42"/>
      <c r="H32" s="53"/>
      <c r="I32" s="53" t="s">
        <v>27</v>
      </c>
      <c r="J32" s="42"/>
      <c r="L32" s="54" t="s">
        <v>28</v>
      </c>
      <c r="O32" s="15"/>
      <c r="P32" s="12"/>
      <c r="Q32" s="12"/>
      <c r="R32" s="12"/>
      <c r="S32" s="37"/>
    </row>
    <row r="33" spans="1:23" s="41" customFormat="1" ht="13.8" x14ac:dyDescent="0.25">
      <c r="A33" s="43"/>
      <c r="B33" s="55" t="s">
        <v>29</v>
      </c>
      <c r="C33" s="56" t="s">
        <v>189</v>
      </c>
      <c r="D33" s="42"/>
      <c r="E33" s="42"/>
      <c r="F33" s="42"/>
      <c r="G33" s="57"/>
      <c r="H33" s="57"/>
      <c r="I33" s="593"/>
      <c r="J33" s="593"/>
      <c r="K33" s="593"/>
      <c r="L33" s="58">
        <v>0</v>
      </c>
      <c r="O33" s="43"/>
      <c r="S33" s="40"/>
    </row>
    <row r="34" spans="1:23" s="62" customFormat="1" ht="14.4" thickBot="1" x14ac:dyDescent="0.3">
      <c r="A34" s="60"/>
      <c r="B34" s="61" t="s">
        <v>184</v>
      </c>
      <c r="E34" s="52"/>
      <c r="F34" s="52"/>
      <c r="G34" s="63"/>
      <c r="H34" s="51"/>
      <c r="I34" s="63"/>
      <c r="J34" s="42"/>
      <c r="L34" s="64">
        <f>SUM(L33:L33)</f>
        <v>0</v>
      </c>
      <c r="M34" s="41"/>
      <c r="N34" s="41"/>
      <c r="O34" s="43"/>
      <c r="P34" s="41"/>
      <c r="Q34" s="41"/>
      <c r="R34" s="41"/>
      <c r="S34" s="40"/>
    </row>
    <row r="35" spans="1:23" s="41" customFormat="1" ht="8.25" customHeight="1" thickTop="1" x14ac:dyDescent="0.25">
      <c r="A35" s="65"/>
      <c r="B35" s="66"/>
      <c r="C35" s="66"/>
      <c r="D35" s="66"/>
      <c r="E35" s="66"/>
      <c r="F35" s="66"/>
      <c r="G35" s="66"/>
      <c r="H35" s="66"/>
      <c r="I35" s="66"/>
      <c r="J35" s="67"/>
      <c r="K35" s="67"/>
      <c r="L35" s="47"/>
      <c r="M35" s="47"/>
      <c r="O35" s="43"/>
      <c r="W35" s="40"/>
    </row>
    <row r="36" spans="1:23" s="41" customFormat="1" ht="3.75" customHeight="1" x14ac:dyDescent="0.25">
      <c r="A36" s="39"/>
      <c r="B36" s="68"/>
      <c r="C36" s="68"/>
      <c r="D36" s="68"/>
      <c r="E36" s="68"/>
      <c r="F36" s="68"/>
      <c r="G36" s="68"/>
      <c r="H36" s="68"/>
      <c r="I36" s="68"/>
      <c r="J36" s="69"/>
      <c r="K36" s="69"/>
      <c r="O36" s="43"/>
      <c r="W36" s="40"/>
    </row>
    <row r="37" spans="1:23" s="41" customFormat="1" ht="13.8" x14ac:dyDescent="0.25">
      <c r="A37" s="43"/>
      <c r="B37" s="6" t="s">
        <v>34</v>
      </c>
      <c r="C37" s="70"/>
      <c r="D37" s="70"/>
      <c r="E37" s="70"/>
      <c r="F37" s="70"/>
      <c r="G37" s="70"/>
      <c r="H37" s="70"/>
      <c r="I37" s="70"/>
      <c r="J37" s="89"/>
      <c r="K37" s="89"/>
      <c r="O37" s="43"/>
      <c r="W37" s="40"/>
    </row>
    <row r="38" spans="1:23" s="41" customFormat="1" ht="15" customHeight="1" x14ac:dyDescent="0.25">
      <c r="A38" s="43"/>
      <c r="B38" s="572"/>
      <c r="C38" s="572"/>
      <c r="D38" s="572"/>
      <c r="E38" s="572"/>
      <c r="F38" s="572"/>
      <c r="G38" s="572"/>
      <c r="H38" s="572"/>
      <c r="I38" s="572"/>
      <c r="J38" s="572"/>
      <c r="K38" s="572"/>
      <c r="L38" s="572"/>
      <c r="O38" s="43"/>
      <c r="W38" s="40"/>
    </row>
    <row r="39" spans="1:23" ht="13.8" x14ac:dyDescent="0.25">
      <c r="B39" s="572"/>
      <c r="C39" s="572"/>
      <c r="D39" s="572"/>
      <c r="E39" s="572"/>
      <c r="F39" s="572"/>
      <c r="G39" s="572"/>
      <c r="H39" s="572"/>
      <c r="I39" s="572"/>
      <c r="J39" s="572"/>
      <c r="K39" s="572"/>
      <c r="L39" s="572"/>
      <c r="M39" s="41"/>
      <c r="N39" s="41"/>
      <c r="O39" s="43"/>
      <c r="P39" s="41"/>
      <c r="Q39" s="41"/>
      <c r="R39" s="41"/>
      <c r="S39" s="40"/>
    </row>
    <row r="40" spans="1:23" s="41" customFormat="1" ht="8.25" customHeight="1" thickBot="1" x14ac:dyDescent="0.3">
      <c r="A40" s="77"/>
      <c r="B40" s="78"/>
      <c r="C40" s="78"/>
      <c r="D40" s="78"/>
      <c r="E40" s="78"/>
      <c r="F40" s="78"/>
      <c r="G40" s="78"/>
      <c r="H40" s="78"/>
      <c r="I40" s="78"/>
      <c r="J40" s="79"/>
      <c r="K40" s="79"/>
      <c r="L40" s="80"/>
      <c r="M40" s="80"/>
      <c r="O40" s="43"/>
      <c r="W40" s="40"/>
    </row>
    <row r="41" spans="1:23" s="41" customFormat="1" ht="6.75" customHeight="1" x14ac:dyDescent="0.25">
      <c r="A41" s="39"/>
      <c r="B41" s="68"/>
      <c r="C41" s="68"/>
      <c r="D41" s="68"/>
      <c r="E41" s="68"/>
      <c r="F41" s="68"/>
      <c r="G41" s="68"/>
      <c r="H41" s="68"/>
      <c r="I41" s="68"/>
      <c r="J41" s="69"/>
      <c r="K41" s="69"/>
      <c r="O41" s="43"/>
      <c r="W41" s="40"/>
    </row>
    <row r="42" spans="1:23" ht="13.8" x14ac:dyDescent="0.25">
      <c r="B42" s="48"/>
      <c r="L42" s="41"/>
      <c r="M42" s="41"/>
      <c r="N42" s="41"/>
      <c r="O42" s="43"/>
      <c r="P42" s="41"/>
      <c r="Q42" s="41"/>
      <c r="R42" s="41"/>
      <c r="S42" s="59"/>
    </row>
    <row r="43" spans="1:23" ht="11.25" customHeight="1" x14ac:dyDescent="0.25">
      <c r="B43" s="48"/>
      <c r="L43" s="41"/>
      <c r="M43" s="41"/>
      <c r="N43" s="41"/>
      <c r="O43" s="43"/>
      <c r="P43" s="41"/>
      <c r="Q43" s="41"/>
      <c r="R43" s="41"/>
      <c r="S43" s="59"/>
    </row>
    <row r="44" spans="1:23" ht="13.8" x14ac:dyDescent="0.25">
      <c r="L44" s="41"/>
      <c r="M44" s="41"/>
      <c r="N44" s="41"/>
      <c r="O44" s="43"/>
      <c r="P44" s="41"/>
      <c r="Q44" s="41"/>
      <c r="R44" s="41"/>
      <c r="S44" s="40"/>
    </row>
    <row r="45" spans="1:23" ht="13.8" x14ac:dyDescent="0.25">
      <c r="L45" s="41"/>
      <c r="M45" s="41"/>
      <c r="N45" s="41"/>
      <c r="O45" s="43"/>
      <c r="P45" s="41"/>
      <c r="Q45" s="41"/>
      <c r="R45" s="41"/>
      <c r="S45" s="40"/>
    </row>
    <row r="46" spans="1:23" ht="13.8" x14ac:dyDescent="0.25">
      <c r="O46" s="41"/>
      <c r="P46" s="41"/>
      <c r="Q46" s="41"/>
      <c r="R46" s="41"/>
      <c r="S46" s="40"/>
    </row>
    <row r="47" spans="1:23" ht="13.8" x14ac:dyDescent="0.25">
      <c r="O47" s="41"/>
      <c r="P47" s="41"/>
      <c r="Q47" s="41"/>
      <c r="R47" s="41"/>
      <c r="S47" s="40"/>
    </row>
    <row r="48" spans="1:23" ht="13.8" x14ac:dyDescent="0.25">
      <c r="O48" s="41"/>
      <c r="P48" s="41"/>
      <c r="Q48" s="41"/>
      <c r="R48" s="41"/>
      <c r="S48" s="40"/>
    </row>
    <row r="49" spans="15:19" ht="15.6" x14ac:dyDescent="0.3">
      <c r="O49" s="71"/>
      <c r="P49" s="71"/>
      <c r="Q49" s="71"/>
      <c r="R49" s="71"/>
      <c r="S49" s="72"/>
    </row>
    <row r="50" spans="15:19" ht="15.6" x14ac:dyDescent="0.3">
      <c r="O50" s="71"/>
      <c r="P50" s="71"/>
      <c r="Q50" s="71"/>
      <c r="R50" s="71"/>
      <c r="S50" s="72"/>
    </row>
    <row r="51" spans="15:19" ht="15.6" x14ac:dyDescent="0.3">
      <c r="O51" s="71"/>
      <c r="P51" s="71"/>
      <c r="Q51" s="71"/>
      <c r="R51" s="71"/>
      <c r="S51" s="72"/>
    </row>
    <row r="52" spans="15:19" ht="15.6" x14ac:dyDescent="0.3">
      <c r="O52" s="71"/>
      <c r="P52" s="71"/>
      <c r="Q52" s="71"/>
      <c r="R52" s="71"/>
      <c r="S52" s="72"/>
    </row>
  </sheetData>
  <mergeCells count="3">
    <mergeCell ref="B38:L39"/>
    <mergeCell ref="I33:K33"/>
    <mergeCell ref="B23:L28"/>
  </mergeCells>
  <dataValidations count="3">
    <dataValidation type="list" allowBlank="1" showInputMessage="1" showErrorMessage="1" sqref="I33:K33">
      <formula1>$O$3:$O$21</formula1>
    </dataValidation>
    <dataValidation allowBlank="1" showErrorMessage="1" promptTitle="Do not change" sqref="B32"/>
    <dataValidation type="list" allowBlank="1" showInputMessage="1" showErrorMessage="1" sqref="G33">
      <formula1>$O$17:$O$19</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W53"/>
  <sheetViews>
    <sheetView showGridLines="0" view="pageBreakPreview" topLeftCell="A7"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177</v>
      </c>
      <c r="B1" s="2"/>
      <c r="C1" s="2"/>
      <c r="D1" s="2"/>
      <c r="E1" s="2"/>
      <c r="F1" s="2"/>
      <c r="G1" s="2"/>
      <c r="H1" s="2"/>
      <c r="I1" s="2"/>
      <c r="J1" s="2"/>
      <c r="K1" s="2"/>
      <c r="L1" s="2"/>
      <c r="M1" s="2"/>
      <c r="O1" s="4"/>
      <c r="P1" s="4"/>
      <c r="Q1" s="4"/>
      <c r="R1" s="4"/>
      <c r="S1" s="5"/>
      <c r="T1" s="83" t="s">
        <v>237</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16053391</v>
      </c>
      <c r="F5" s="18">
        <v>16150454</v>
      </c>
      <c r="G5" s="18">
        <v>16287054</v>
      </c>
      <c r="I5" s="86" t="s">
        <v>38</v>
      </c>
      <c r="J5" s="73"/>
      <c r="K5" s="73"/>
      <c r="L5" s="73">
        <f>-305000-196720</f>
        <v>-501720</v>
      </c>
      <c r="O5" s="15" t="s">
        <v>4</v>
      </c>
      <c r="S5" s="10">
        <f t="shared" si="0"/>
        <v>0</v>
      </c>
    </row>
    <row r="6" spans="1:20" x14ac:dyDescent="0.25">
      <c r="B6" s="16" t="s">
        <v>7</v>
      </c>
      <c r="C6" s="17"/>
      <c r="D6" s="12"/>
      <c r="E6" s="18">
        <v>16053391</v>
      </c>
      <c r="F6" s="18">
        <v>16150454</v>
      </c>
      <c r="G6" s="18">
        <f>+G5-100599</f>
        <v>16186455</v>
      </c>
      <c r="I6" s="87" t="s">
        <v>39</v>
      </c>
      <c r="J6" s="18">
        <v>50000</v>
      </c>
      <c r="K6" s="18">
        <v>0</v>
      </c>
      <c r="L6" s="18">
        <v>-501720</v>
      </c>
      <c r="O6" s="15" t="s">
        <v>6</v>
      </c>
      <c r="S6" s="10">
        <f t="shared" si="0"/>
        <v>0</v>
      </c>
    </row>
    <row r="7" spans="1:20" x14ac:dyDescent="0.25">
      <c r="B7" s="21" t="s">
        <v>9</v>
      </c>
      <c r="C7" s="22"/>
      <c r="D7" s="23"/>
      <c r="E7" s="24">
        <v>16186600</v>
      </c>
      <c r="F7" s="24">
        <v>16296974</v>
      </c>
      <c r="G7" s="24">
        <f>G6-L6</f>
        <v>16688175</v>
      </c>
      <c r="I7" s="87" t="s">
        <v>40</v>
      </c>
      <c r="J7" s="18">
        <v>-34000</v>
      </c>
      <c r="K7" s="18">
        <v>0</v>
      </c>
      <c r="L7" s="18">
        <f>+L42</f>
        <v>-598120</v>
      </c>
      <c r="O7" s="15" t="s">
        <v>8</v>
      </c>
      <c r="P7" s="20"/>
      <c r="S7" s="10">
        <f t="shared" si="0"/>
        <v>0</v>
      </c>
    </row>
    <row r="8" spans="1:20" x14ac:dyDescent="0.25">
      <c r="B8" s="26" t="s">
        <v>11</v>
      </c>
      <c r="C8" s="27"/>
      <c r="D8" s="28"/>
      <c r="E8" s="29">
        <v>-133209</v>
      </c>
      <c r="F8" s="29">
        <v>-146520</v>
      </c>
      <c r="G8" s="29">
        <f>G6-G7</f>
        <v>-501720</v>
      </c>
      <c r="I8" s="88" t="s">
        <v>43</v>
      </c>
      <c r="J8" s="74">
        <f>E8</f>
        <v>-133209</v>
      </c>
      <c r="K8" s="74">
        <f>F8</f>
        <v>-146520</v>
      </c>
      <c r="L8" s="74"/>
      <c r="O8" s="15" t="s">
        <v>10</v>
      </c>
      <c r="P8" s="25"/>
      <c r="S8" s="10">
        <f t="shared" si="0"/>
        <v>0</v>
      </c>
    </row>
    <row r="9" spans="1:20" x14ac:dyDescent="0.25">
      <c r="B9" s="32" t="s">
        <v>37</v>
      </c>
      <c r="C9" s="33"/>
      <c r="D9" s="23"/>
      <c r="E9" s="34">
        <f>IF(ISERROR(IF(E8=0,"",(E8/$E$5))),"",(IF(E8=0,"",(E8/$E$5))))</f>
        <v>-8.297873016361465E-3</v>
      </c>
      <c r="F9" s="34">
        <f>IF(ISERROR(IF(F8=0,"",(F8/$F$5))),"",(IF(F8=0,"",(F8/$F$5))))</f>
        <v>-9.0721907879493663E-3</v>
      </c>
      <c r="G9" s="34">
        <f>IF(ISERROR(IF(G8=0,"",(G8/$G$5))),"",(IF(G8=0,"",(G8/$G$5))))</f>
        <v>-3.08048343181032E-2</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-598120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-598120</v>
      </c>
    </row>
    <row r="23" spans="1:19" s="41" customFormat="1" ht="15" customHeight="1" x14ac:dyDescent="0.25">
      <c r="A23" s="39"/>
      <c r="B23" s="572" t="s">
        <v>404</v>
      </c>
      <c r="C23" s="572"/>
      <c r="D23" s="572"/>
      <c r="E23" s="572"/>
      <c r="F23" s="572"/>
      <c r="G23" s="572"/>
      <c r="H23" s="572"/>
      <c r="I23" s="572"/>
      <c r="J23" s="572"/>
      <c r="K23" s="572"/>
      <c r="L23" s="572"/>
      <c r="O23" s="15"/>
      <c r="P23" s="12"/>
      <c r="Q23" s="12"/>
      <c r="R23" s="12"/>
      <c r="S23" s="10"/>
    </row>
    <row r="24" spans="1:19" s="41" customFormat="1" ht="13.8" x14ac:dyDescent="0.25">
      <c r="A24" s="39"/>
      <c r="B24" s="572"/>
      <c r="C24" s="572"/>
      <c r="D24" s="572"/>
      <c r="E24" s="572"/>
      <c r="F24" s="572"/>
      <c r="G24" s="572"/>
      <c r="H24" s="572"/>
      <c r="I24" s="572"/>
      <c r="J24" s="572"/>
      <c r="K24" s="572"/>
      <c r="L24" s="572"/>
      <c r="O24" s="15"/>
      <c r="P24" s="12"/>
      <c r="Q24" s="12"/>
      <c r="R24" s="12"/>
      <c r="S24" s="10"/>
    </row>
    <row r="25" spans="1:19" s="41" customFormat="1" ht="13.8" x14ac:dyDescent="0.25">
      <c r="A25" s="39"/>
      <c r="B25" s="572"/>
      <c r="C25" s="572"/>
      <c r="D25" s="572"/>
      <c r="E25" s="572"/>
      <c r="F25" s="572"/>
      <c r="G25" s="572"/>
      <c r="H25" s="572"/>
      <c r="I25" s="572"/>
      <c r="J25" s="572"/>
      <c r="K25" s="572"/>
      <c r="L25" s="572"/>
      <c r="M25" s="258"/>
      <c r="O25" s="15"/>
      <c r="P25" s="12"/>
      <c r="Q25" s="12"/>
      <c r="R25" s="12"/>
      <c r="S25" s="10"/>
    </row>
    <row r="26" spans="1:19" s="41" customFormat="1" ht="13.8" x14ac:dyDescent="0.25">
      <c r="A26" s="39"/>
      <c r="B26" s="572"/>
      <c r="C26" s="572"/>
      <c r="D26" s="572"/>
      <c r="E26" s="572"/>
      <c r="F26" s="572"/>
      <c r="G26" s="572"/>
      <c r="H26" s="572"/>
      <c r="I26" s="572"/>
      <c r="J26" s="572"/>
      <c r="K26" s="572"/>
      <c r="L26" s="572"/>
      <c r="M26" s="258"/>
      <c r="O26" s="15"/>
      <c r="P26" s="12"/>
      <c r="Q26" s="12"/>
      <c r="R26" s="12"/>
      <c r="S26" s="10"/>
    </row>
    <row r="27" spans="1:19" s="41" customFormat="1" ht="13.8" x14ac:dyDescent="0.25">
      <c r="A27" s="39"/>
      <c r="B27" s="572"/>
      <c r="C27" s="572"/>
      <c r="D27" s="572"/>
      <c r="E27" s="572"/>
      <c r="F27" s="572"/>
      <c r="G27" s="572"/>
      <c r="H27" s="572"/>
      <c r="I27" s="572"/>
      <c r="J27" s="572"/>
      <c r="K27" s="572"/>
      <c r="L27" s="572"/>
      <c r="M27" s="258"/>
      <c r="O27" s="15"/>
      <c r="P27" s="12"/>
      <c r="Q27" s="12"/>
      <c r="R27" s="12"/>
      <c r="S27" s="10"/>
    </row>
    <row r="28" spans="1:19" s="41" customFormat="1" ht="13.8" x14ac:dyDescent="0.25">
      <c r="A28" s="39"/>
      <c r="B28" s="572"/>
      <c r="C28" s="572"/>
      <c r="D28" s="572"/>
      <c r="E28" s="572"/>
      <c r="F28" s="572"/>
      <c r="G28" s="572"/>
      <c r="H28" s="572"/>
      <c r="I28" s="572"/>
      <c r="J28" s="572"/>
      <c r="K28" s="572"/>
      <c r="L28" s="572"/>
      <c r="M28" s="258"/>
      <c r="O28" s="15"/>
      <c r="P28" s="12"/>
      <c r="Q28" s="12"/>
      <c r="R28" s="12"/>
      <c r="S28" s="10"/>
    </row>
    <row r="29" spans="1:19" s="41" customFormat="1" ht="13.8" x14ac:dyDescent="0.25">
      <c r="A29" s="39"/>
      <c r="B29" s="572"/>
      <c r="C29" s="572"/>
      <c r="D29" s="572"/>
      <c r="E29" s="572"/>
      <c r="F29" s="572"/>
      <c r="G29" s="572"/>
      <c r="H29" s="572"/>
      <c r="I29" s="572"/>
      <c r="J29" s="572"/>
      <c r="K29" s="572"/>
      <c r="L29" s="572"/>
      <c r="M29" s="258"/>
      <c r="O29" s="15"/>
      <c r="P29" s="12"/>
      <c r="Q29" s="12"/>
      <c r="R29" s="12"/>
      <c r="S29" s="10"/>
    </row>
    <row r="30" spans="1:19" s="41" customFormat="1" ht="13.8" x14ac:dyDescent="0.25">
      <c r="A30" s="39"/>
      <c r="B30" s="572"/>
      <c r="C30" s="572"/>
      <c r="D30" s="572"/>
      <c r="E30" s="572"/>
      <c r="F30" s="572"/>
      <c r="G30" s="572"/>
      <c r="H30" s="572"/>
      <c r="I30" s="572"/>
      <c r="J30" s="572"/>
      <c r="K30" s="572"/>
      <c r="L30" s="572"/>
      <c r="M30" s="258"/>
      <c r="O30" s="15"/>
      <c r="P30" s="12"/>
      <c r="Q30" s="12"/>
      <c r="R30" s="12"/>
      <c r="S30" s="10"/>
    </row>
    <row r="31" spans="1:19" s="41" customFormat="1" ht="13.8" x14ac:dyDescent="0.25">
      <c r="A31" s="39"/>
      <c r="B31" s="572"/>
      <c r="C31" s="572"/>
      <c r="D31" s="572"/>
      <c r="E31" s="572"/>
      <c r="F31" s="572"/>
      <c r="G31" s="572"/>
      <c r="H31" s="572"/>
      <c r="I31" s="572"/>
      <c r="J31" s="572"/>
      <c r="K31" s="572"/>
      <c r="L31" s="572"/>
      <c r="M31" s="258"/>
      <c r="O31" s="15"/>
      <c r="P31" s="12"/>
      <c r="Q31" s="12"/>
      <c r="R31" s="12"/>
      <c r="S31" s="10"/>
    </row>
    <row r="32" spans="1:19" s="41" customFormat="1" ht="13.8" x14ac:dyDescent="0.25">
      <c r="A32" s="39"/>
      <c r="B32" s="572"/>
      <c r="C32" s="572"/>
      <c r="D32" s="572"/>
      <c r="E32" s="572"/>
      <c r="F32" s="572"/>
      <c r="G32" s="572"/>
      <c r="H32" s="572"/>
      <c r="I32" s="572"/>
      <c r="J32" s="572"/>
      <c r="K32" s="572"/>
      <c r="L32" s="572"/>
      <c r="M32" s="258"/>
      <c r="O32" s="15"/>
      <c r="P32" s="12"/>
      <c r="Q32" s="12"/>
      <c r="R32" s="12"/>
      <c r="S32" s="10"/>
    </row>
    <row r="33" spans="1:23" s="41" customFormat="1" ht="13.8" x14ac:dyDescent="0.25">
      <c r="A33" s="39"/>
      <c r="B33" s="572"/>
      <c r="C33" s="572"/>
      <c r="D33" s="572"/>
      <c r="E33" s="572"/>
      <c r="F33" s="572"/>
      <c r="G33" s="572"/>
      <c r="H33" s="572"/>
      <c r="I33" s="572"/>
      <c r="J33" s="572"/>
      <c r="K33" s="572"/>
      <c r="L33" s="572"/>
      <c r="M33" s="258"/>
      <c r="O33" s="15"/>
      <c r="P33" s="12"/>
      <c r="Q33" s="12"/>
      <c r="R33" s="12"/>
      <c r="S33" s="10"/>
    </row>
    <row r="34" spans="1:23" s="41" customFormat="1" ht="13.8" x14ac:dyDescent="0.25">
      <c r="A34" s="39"/>
      <c r="B34" s="572"/>
      <c r="C34" s="572"/>
      <c r="D34" s="572"/>
      <c r="E34" s="572"/>
      <c r="F34" s="572"/>
      <c r="G34" s="572"/>
      <c r="H34" s="572"/>
      <c r="I34" s="572"/>
      <c r="J34" s="572"/>
      <c r="K34" s="572"/>
      <c r="L34" s="572"/>
      <c r="M34" s="258"/>
      <c r="O34" s="15"/>
      <c r="P34" s="12"/>
      <c r="Q34" s="12"/>
      <c r="R34" s="12"/>
      <c r="S34" s="10"/>
    </row>
    <row r="35" spans="1:23" s="41" customFormat="1" ht="13.8" x14ac:dyDescent="0.25">
      <c r="A35" s="75"/>
      <c r="B35" s="572"/>
      <c r="C35" s="572"/>
      <c r="D35" s="572"/>
      <c r="E35" s="572"/>
      <c r="F35" s="572"/>
      <c r="G35" s="572"/>
      <c r="H35" s="572"/>
      <c r="I35" s="572"/>
      <c r="J35" s="572"/>
      <c r="K35" s="572"/>
      <c r="L35" s="572"/>
      <c r="O35" s="15"/>
      <c r="P35" s="12"/>
      <c r="Q35" s="12"/>
      <c r="R35" s="12"/>
      <c r="S35" s="10"/>
    </row>
    <row r="36" spans="1:23" s="41" customFormat="1" ht="5.25" customHeight="1" x14ac:dyDescent="0.25">
      <c r="A36" s="44"/>
      <c r="B36" s="44"/>
      <c r="C36" s="44"/>
      <c r="D36" s="44"/>
      <c r="E36" s="44"/>
      <c r="F36" s="44"/>
      <c r="G36" s="44"/>
      <c r="H36" s="45"/>
      <c r="I36" s="45"/>
      <c r="J36" s="46"/>
      <c r="K36" s="47"/>
      <c r="L36" s="47"/>
      <c r="M36" s="47"/>
      <c r="O36" s="15"/>
      <c r="P36" s="12"/>
      <c r="Q36" s="12"/>
      <c r="R36" s="12"/>
      <c r="S36" s="37"/>
    </row>
    <row r="37" spans="1:23" s="41" customFormat="1" ht="13.8" x14ac:dyDescent="0.25">
      <c r="A37" s="43"/>
      <c r="B37" s="48" t="s">
        <v>26</v>
      </c>
      <c r="D37" s="42"/>
      <c r="E37" s="42"/>
      <c r="F37" s="42"/>
      <c r="G37" s="42"/>
      <c r="H37" s="49"/>
      <c r="I37" s="50"/>
      <c r="J37" s="51"/>
      <c r="K37" s="51"/>
      <c r="O37" s="15"/>
      <c r="P37" s="12"/>
      <c r="Q37" s="12"/>
      <c r="R37" s="12"/>
      <c r="S37" s="37"/>
    </row>
    <row r="38" spans="1:23" s="41" customFormat="1" ht="13.8" x14ac:dyDescent="0.25">
      <c r="A38" s="43"/>
      <c r="B38" s="52"/>
      <c r="D38" s="42"/>
      <c r="E38" s="42"/>
      <c r="F38" s="42"/>
      <c r="G38" s="42"/>
      <c r="H38" s="53"/>
      <c r="I38" s="53" t="s">
        <v>27</v>
      </c>
      <c r="J38" s="42"/>
      <c r="L38" s="54" t="s">
        <v>28</v>
      </c>
      <c r="O38" s="15"/>
      <c r="P38" s="12"/>
      <c r="Q38" s="12"/>
      <c r="R38" s="12"/>
      <c r="S38" s="37"/>
    </row>
    <row r="39" spans="1:23" s="41" customFormat="1" ht="13.8" x14ac:dyDescent="0.25">
      <c r="A39" s="43"/>
      <c r="B39" s="262" t="s">
        <v>29</v>
      </c>
      <c r="C39" s="41" t="s">
        <v>379</v>
      </c>
      <c r="I39" s="575" t="s">
        <v>21</v>
      </c>
      <c r="J39" s="575"/>
      <c r="K39" s="575"/>
      <c r="L39" s="219">
        <v>3600</v>
      </c>
      <c r="M39" s="331" t="s">
        <v>207</v>
      </c>
      <c r="N39" s="331"/>
      <c r="O39" s="343"/>
      <c r="P39" s="331"/>
      <c r="Q39" s="331"/>
      <c r="R39" s="331"/>
      <c r="S39" s="344"/>
      <c r="T39" s="331"/>
    </row>
    <row r="40" spans="1:23" s="41" customFormat="1" ht="13.8" x14ac:dyDescent="0.25">
      <c r="A40" s="43"/>
      <c r="B40" s="262" t="s">
        <v>30</v>
      </c>
      <c r="C40" s="260" t="s">
        <v>370</v>
      </c>
      <c r="D40" s="253"/>
      <c r="E40" s="253"/>
      <c r="F40" s="253"/>
      <c r="G40" s="261"/>
      <c r="H40" s="261"/>
      <c r="I40" s="575" t="s">
        <v>21</v>
      </c>
      <c r="J40" s="575"/>
      <c r="K40" s="575"/>
      <c r="L40" s="459">
        <v>-196720</v>
      </c>
      <c r="M40" s="331" t="s">
        <v>207</v>
      </c>
      <c r="N40" s="331"/>
      <c r="O40" s="343"/>
      <c r="P40" s="331"/>
      <c r="Q40" s="331"/>
      <c r="R40" s="331"/>
      <c r="S40" s="344"/>
      <c r="T40" s="331"/>
    </row>
    <row r="41" spans="1:23" s="41" customFormat="1" ht="13.8" x14ac:dyDescent="0.25">
      <c r="A41" s="43"/>
      <c r="B41" s="262" t="s">
        <v>31</v>
      </c>
      <c r="C41" s="260" t="s">
        <v>369</v>
      </c>
      <c r="D41" s="502"/>
      <c r="E41" s="502"/>
      <c r="F41" s="502"/>
      <c r="G41" s="261"/>
      <c r="H41" s="261"/>
      <c r="I41" s="501" t="s">
        <v>21</v>
      </c>
      <c r="J41" s="501"/>
      <c r="K41" s="501"/>
      <c r="L41" s="220">
        <v>-405000</v>
      </c>
      <c r="M41" s="331" t="s">
        <v>207</v>
      </c>
      <c r="N41" s="331"/>
      <c r="O41" s="343"/>
      <c r="P41" s="331"/>
      <c r="Q41" s="331"/>
      <c r="R41" s="331"/>
      <c r="S41" s="344"/>
      <c r="T41" s="331"/>
    </row>
    <row r="42" spans="1:23" s="62" customFormat="1" ht="14.4" thickBot="1" x14ac:dyDescent="0.3">
      <c r="A42" s="60"/>
      <c r="B42" s="61" t="s">
        <v>184</v>
      </c>
      <c r="E42" s="52"/>
      <c r="F42" s="52"/>
      <c r="G42" s="63"/>
      <c r="H42" s="51"/>
      <c r="I42" s="63"/>
      <c r="J42" s="42"/>
      <c r="L42" s="64">
        <f>SUM(L39:L41)</f>
        <v>-598120</v>
      </c>
      <c r="M42" s="331"/>
      <c r="N42" s="331"/>
      <c r="O42" s="343"/>
      <c r="P42" s="331"/>
      <c r="Q42" s="331"/>
      <c r="R42" s="331"/>
      <c r="S42" s="344"/>
      <c r="T42" s="63"/>
    </row>
    <row r="43" spans="1:23" s="41" customFormat="1" ht="8.25" customHeight="1" thickTop="1" x14ac:dyDescent="0.25">
      <c r="A43" s="65"/>
      <c r="B43" s="66"/>
      <c r="C43" s="66"/>
      <c r="D43" s="66"/>
      <c r="E43" s="66"/>
      <c r="F43" s="66"/>
      <c r="G43" s="66"/>
      <c r="H43" s="66"/>
      <c r="I43" s="66"/>
      <c r="J43" s="67"/>
      <c r="K43" s="67"/>
      <c r="L43" s="47"/>
      <c r="M43" s="47"/>
      <c r="O43" s="43"/>
      <c r="W43" s="40"/>
    </row>
    <row r="44" spans="1:23" s="41" customFormat="1" ht="3.75" customHeight="1" x14ac:dyDescent="0.25">
      <c r="A44" s="39"/>
      <c r="B44" s="68"/>
      <c r="C44" s="68"/>
      <c r="D44" s="68"/>
      <c r="E44" s="68"/>
      <c r="F44" s="68"/>
      <c r="G44" s="68"/>
      <c r="H44" s="68"/>
      <c r="I44" s="68"/>
      <c r="J44" s="69"/>
      <c r="K44" s="69"/>
      <c r="O44" s="43"/>
      <c r="W44" s="40"/>
    </row>
    <row r="45" spans="1:23" s="41" customFormat="1" ht="13.8" x14ac:dyDescent="0.25">
      <c r="A45" s="43"/>
      <c r="B45" s="6" t="s">
        <v>34</v>
      </c>
      <c r="C45" s="70"/>
      <c r="D45" s="70"/>
      <c r="E45" s="70"/>
      <c r="F45" s="70"/>
      <c r="G45" s="70"/>
      <c r="H45" s="70"/>
      <c r="I45" s="70"/>
      <c r="J45" s="89"/>
      <c r="K45" s="89"/>
      <c r="O45" s="43"/>
      <c r="W45" s="40"/>
    </row>
    <row r="46" spans="1:23" s="41" customFormat="1" ht="15" customHeight="1" x14ac:dyDescent="0.25">
      <c r="A46" s="43"/>
      <c r="B46" s="572"/>
      <c r="C46" s="572"/>
      <c r="D46" s="572"/>
      <c r="E46" s="572"/>
      <c r="F46" s="572"/>
      <c r="G46" s="572"/>
      <c r="H46" s="572"/>
      <c r="I46" s="572"/>
      <c r="J46" s="572"/>
      <c r="K46" s="572"/>
      <c r="L46" s="572"/>
      <c r="O46" s="43"/>
      <c r="W46" s="40"/>
    </row>
    <row r="47" spans="1:23" s="41" customFormat="1" ht="15" customHeight="1" x14ac:dyDescent="0.25">
      <c r="A47" s="43"/>
      <c r="B47" s="572"/>
      <c r="C47" s="572"/>
      <c r="D47" s="572"/>
      <c r="E47" s="572"/>
      <c r="F47" s="572"/>
      <c r="G47" s="572"/>
      <c r="H47" s="572"/>
      <c r="I47" s="572"/>
      <c r="J47" s="572"/>
      <c r="K47" s="572"/>
      <c r="L47" s="572"/>
      <c r="O47" s="43"/>
      <c r="W47" s="40"/>
    </row>
    <row r="48" spans="1:23" s="41" customFormat="1" ht="15" customHeight="1" x14ac:dyDescent="0.25">
      <c r="A48" s="43"/>
      <c r="B48" s="572"/>
      <c r="C48" s="572"/>
      <c r="D48" s="572"/>
      <c r="E48" s="572"/>
      <c r="F48" s="572"/>
      <c r="G48" s="572"/>
      <c r="H48" s="572"/>
      <c r="I48" s="572"/>
      <c r="J48" s="572"/>
      <c r="K48" s="572"/>
      <c r="L48" s="572"/>
      <c r="O48" s="43"/>
      <c r="W48" s="40"/>
    </row>
    <row r="49" spans="1:23" s="41" customFormat="1" ht="15" customHeight="1" x14ac:dyDescent="0.25">
      <c r="A49" s="43"/>
      <c r="B49" s="572"/>
      <c r="C49" s="572"/>
      <c r="D49" s="572"/>
      <c r="E49" s="572"/>
      <c r="F49" s="572"/>
      <c r="G49" s="572"/>
      <c r="H49" s="572"/>
      <c r="I49" s="572"/>
      <c r="J49" s="572"/>
      <c r="K49" s="572"/>
      <c r="L49" s="572"/>
      <c r="O49" s="43"/>
      <c r="W49" s="40"/>
    </row>
    <row r="50" spans="1:23" ht="13.8" x14ac:dyDescent="0.25">
      <c r="B50" s="572"/>
      <c r="C50" s="572"/>
      <c r="D50" s="572"/>
      <c r="E50" s="572"/>
      <c r="F50" s="572"/>
      <c r="G50" s="572"/>
      <c r="H50" s="572"/>
      <c r="I50" s="572"/>
      <c r="J50" s="572"/>
      <c r="K50" s="572"/>
      <c r="L50" s="572"/>
      <c r="M50" s="41"/>
      <c r="N50" s="41"/>
      <c r="O50" s="43"/>
      <c r="P50" s="41"/>
      <c r="Q50" s="41"/>
      <c r="R50" s="41"/>
      <c r="S50" s="40"/>
    </row>
    <row r="51" spans="1:23" s="41" customFormat="1" ht="8.25" customHeight="1" thickBot="1" x14ac:dyDescent="0.3">
      <c r="A51" s="77"/>
      <c r="B51" s="78"/>
      <c r="C51" s="78"/>
      <c r="D51" s="78"/>
      <c r="E51" s="78"/>
      <c r="F51" s="78"/>
      <c r="G51" s="78"/>
      <c r="H51" s="78"/>
      <c r="I51" s="78"/>
      <c r="J51" s="79"/>
      <c r="K51" s="79"/>
      <c r="L51" s="80"/>
      <c r="M51" s="80"/>
      <c r="O51" s="43"/>
      <c r="W51" s="40"/>
    </row>
    <row r="52" spans="1:23" s="41" customFormat="1" ht="6.75" customHeight="1" x14ac:dyDescent="0.25">
      <c r="A52" s="39"/>
      <c r="B52" s="68"/>
      <c r="C52" s="68"/>
      <c r="D52" s="68"/>
      <c r="E52" s="68"/>
      <c r="F52" s="68"/>
      <c r="G52" s="68"/>
      <c r="H52" s="68"/>
      <c r="I52" s="68"/>
      <c r="J52" s="69"/>
      <c r="K52" s="69"/>
      <c r="O52" s="43"/>
      <c r="W52" s="40"/>
    </row>
    <row r="53" spans="1:23" ht="15.6" x14ac:dyDescent="0.3">
      <c r="O53" s="71"/>
      <c r="P53" s="71"/>
      <c r="Q53" s="71"/>
      <c r="R53" s="71"/>
      <c r="S53" s="72"/>
    </row>
  </sheetData>
  <mergeCells count="4">
    <mergeCell ref="B46:L50"/>
    <mergeCell ref="I40:K40"/>
    <mergeCell ref="B23:L35"/>
    <mergeCell ref="I39:K39"/>
  </mergeCells>
  <dataValidations count="3">
    <dataValidation type="list" allowBlank="1" showInputMessage="1" showErrorMessage="1" sqref="I39:K41">
      <formula1>$O$3:$O$21</formula1>
    </dataValidation>
    <dataValidation type="list" allowBlank="1" showInputMessage="1" showErrorMessage="1" sqref="G40:G41">
      <formula1>$O$17:$O$19</formula1>
    </dataValidation>
    <dataValidation allowBlank="1" showErrorMessage="1" promptTitle="Do not change" sqref="B38"/>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51"/>
  <sheetViews>
    <sheetView view="pageBreakPreview"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155</v>
      </c>
      <c r="B1" s="2"/>
      <c r="C1" s="2"/>
      <c r="D1" s="2"/>
      <c r="E1" s="2"/>
      <c r="F1" s="2"/>
      <c r="G1" s="2"/>
      <c r="H1" s="2"/>
      <c r="I1" s="2"/>
      <c r="J1" s="2"/>
      <c r="K1" s="2"/>
      <c r="L1" s="2"/>
      <c r="M1" s="2"/>
      <c r="O1" s="4"/>
      <c r="P1" s="4"/>
      <c r="Q1" s="4"/>
      <c r="R1" s="4"/>
      <c r="S1" s="5"/>
      <c r="T1" s="83" t="s">
        <v>226</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464481</v>
      </c>
      <c r="F5" s="18">
        <v>438179</v>
      </c>
      <c r="G5" s="18">
        <v>438316.02</v>
      </c>
      <c r="I5" s="86" t="s">
        <v>38</v>
      </c>
      <c r="J5" s="73"/>
      <c r="K5" s="73"/>
      <c r="L5" s="73">
        <v>0</v>
      </c>
      <c r="O5" s="15" t="s">
        <v>4</v>
      </c>
      <c r="S5" s="10">
        <f t="shared" si="0"/>
        <v>0</v>
      </c>
    </row>
    <row r="6" spans="1:20" x14ac:dyDescent="0.25">
      <c r="B6" s="16" t="s">
        <v>7</v>
      </c>
      <c r="C6" s="17"/>
      <c r="D6" s="12"/>
      <c r="E6" s="18">
        <v>464481</v>
      </c>
      <c r="F6" s="18">
        <v>438179</v>
      </c>
      <c r="G6" s="18">
        <v>438316.02</v>
      </c>
      <c r="I6" s="87" t="s">
        <v>39</v>
      </c>
      <c r="J6" s="18">
        <v>0</v>
      </c>
      <c r="K6" s="18">
        <v>0</v>
      </c>
      <c r="L6" s="18">
        <v>0</v>
      </c>
      <c r="O6" s="15" t="s">
        <v>6</v>
      </c>
      <c r="S6" s="10">
        <f t="shared" si="0"/>
        <v>0</v>
      </c>
    </row>
    <row r="7" spans="1:20" x14ac:dyDescent="0.25">
      <c r="B7" s="21" t="s">
        <v>9</v>
      </c>
      <c r="C7" s="22"/>
      <c r="D7" s="23"/>
      <c r="E7" s="24">
        <v>464481</v>
      </c>
      <c r="F7" s="24">
        <v>438179</v>
      </c>
      <c r="G7" s="24">
        <f>G6-L6</f>
        <v>438316.02</v>
      </c>
      <c r="I7" s="87" t="s">
        <v>40</v>
      </c>
      <c r="J7" s="18">
        <v>0</v>
      </c>
      <c r="K7" s="18">
        <v>0</v>
      </c>
      <c r="L7" s="18">
        <f>+L33</f>
        <v>0</v>
      </c>
      <c r="O7" s="15" t="s">
        <v>8</v>
      </c>
      <c r="P7" s="20"/>
      <c r="S7" s="10">
        <f t="shared" si="0"/>
        <v>0</v>
      </c>
    </row>
    <row r="8" spans="1:20" x14ac:dyDescent="0.25">
      <c r="B8" s="26" t="s">
        <v>11</v>
      </c>
      <c r="C8" s="27"/>
      <c r="D8" s="28"/>
      <c r="E8" s="29">
        <v>0</v>
      </c>
      <c r="F8" s="29">
        <v>0</v>
      </c>
      <c r="G8" s="29">
        <v>0</v>
      </c>
      <c r="I8" s="88" t="s">
        <v>43</v>
      </c>
      <c r="J8" s="74">
        <v>0</v>
      </c>
      <c r="K8" s="74">
        <v>0</v>
      </c>
      <c r="L8" s="74"/>
      <c r="O8" s="15" t="s">
        <v>10</v>
      </c>
      <c r="P8" s="25"/>
      <c r="S8" s="10">
        <f t="shared" si="0"/>
        <v>0</v>
      </c>
    </row>
    <row r="9" spans="1:20" x14ac:dyDescent="0.25">
      <c r="B9" s="32" t="s">
        <v>37</v>
      </c>
      <c r="C9" s="33"/>
      <c r="D9" s="23"/>
      <c r="E9" s="34" t="str">
        <f>IF(ISERROR(IF(E8=0,"",(E8/$E$5))),"",(IF(E8=0,"",(E8/$E$5))))</f>
        <v/>
      </c>
      <c r="F9" s="34" t="str">
        <f>IF(ISERROR(IF(F8=0,"",(F8/$F$5))),"",(IF(F8=0,"",(F8/$F$5))))</f>
        <v/>
      </c>
      <c r="G9" s="34" t="str">
        <f>IF(ISERROR(IF(G8=0,"",(G8/$G$5))),"",(IF(G8=0,"",(G8/$G$5))))</f>
        <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0</v>
      </c>
    </row>
    <row r="15" spans="1:20" x14ac:dyDescent="0.25">
      <c r="O15" s="15" t="s">
        <v>18</v>
      </c>
      <c r="P15" s="36"/>
      <c r="Q15" s="36"/>
      <c r="S15" s="10">
        <f t="shared" si="0"/>
        <v>0</v>
      </c>
    </row>
    <row r="16" spans="1:20"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3.8" x14ac:dyDescent="0.25">
      <c r="A23" s="39"/>
      <c r="B23" s="571" t="s">
        <v>330</v>
      </c>
      <c r="C23" s="571"/>
      <c r="D23" s="571"/>
      <c r="E23" s="571"/>
      <c r="F23" s="571"/>
      <c r="G23" s="571"/>
      <c r="H23" s="571"/>
      <c r="I23" s="571"/>
      <c r="J23" s="571"/>
      <c r="K23" s="571"/>
      <c r="L23" s="571"/>
      <c r="M23" s="201"/>
      <c r="N23" s="201"/>
      <c r="O23" s="201"/>
      <c r="P23" s="201"/>
      <c r="Q23" s="201"/>
      <c r="R23" s="201"/>
      <c r="S23" s="10"/>
    </row>
    <row r="24" spans="1:19" s="41" customFormat="1" ht="13.8" x14ac:dyDescent="0.25">
      <c r="A24" s="39"/>
      <c r="B24" s="571"/>
      <c r="C24" s="571"/>
      <c r="D24" s="571"/>
      <c r="E24" s="571"/>
      <c r="F24" s="571"/>
      <c r="G24" s="571"/>
      <c r="H24" s="571"/>
      <c r="I24" s="571"/>
      <c r="J24" s="571"/>
      <c r="K24" s="571"/>
      <c r="L24" s="571"/>
      <c r="M24" s="201"/>
      <c r="N24" s="201"/>
      <c r="O24" s="201"/>
      <c r="P24" s="201"/>
      <c r="Q24" s="201"/>
      <c r="R24" s="201"/>
      <c r="S24" s="10"/>
    </row>
    <row r="25" spans="1:19" s="41" customFormat="1" ht="13.8" x14ac:dyDescent="0.25">
      <c r="A25" s="39"/>
      <c r="B25" s="571"/>
      <c r="C25" s="571"/>
      <c r="D25" s="571"/>
      <c r="E25" s="571"/>
      <c r="F25" s="571"/>
      <c r="G25" s="571"/>
      <c r="H25" s="571"/>
      <c r="I25" s="571"/>
      <c r="J25" s="571"/>
      <c r="K25" s="571"/>
      <c r="L25" s="571"/>
      <c r="M25" s="201"/>
      <c r="N25" s="201"/>
      <c r="O25" s="201"/>
      <c r="P25" s="201"/>
      <c r="Q25" s="201"/>
      <c r="R25" s="201"/>
      <c r="S25" s="10"/>
    </row>
    <row r="26" spans="1:19" s="41" customFormat="1" ht="13.8" x14ac:dyDescent="0.25">
      <c r="A26" s="39"/>
      <c r="B26" s="571"/>
      <c r="C26" s="571"/>
      <c r="D26" s="571"/>
      <c r="E26" s="571"/>
      <c r="F26" s="571"/>
      <c r="G26" s="571"/>
      <c r="H26" s="571"/>
      <c r="I26" s="571"/>
      <c r="J26" s="571"/>
      <c r="K26" s="571"/>
      <c r="L26" s="571"/>
      <c r="M26" s="201"/>
      <c r="N26" s="201"/>
      <c r="O26" s="201"/>
      <c r="P26" s="201"/>
      <c r="Q26" s="201"/>
      <c r="R26" s="201"/>
      <c r="S26" s="10"/>
    </row>
    <row r="27" spans="1:19" s="41" customFormat="1" ht="13.8" x14ac:dyDescent="0.25">
      <c r="A27" s="39"/>
      <c r="B27" s="571"/>
      <c r="C27" s="571"/>
      <c r="D27" s="571"/>
      <c r="E27" s="571"/>
      <c r="F27" s="571"/>
      <c r="G27" s="571"/>
      <c r="H27" s="571"/>
      <c r="I27" s="571"/>
      <c r="J27" s="571"/>
      <c r="K27" s="571"/>
      <c r="L27" s="571"/>
      <c r="M27" s="201"/>
      <c r="N27" s="201"/>
      <c r="O27" s="201"/>
      <c r="P27" s="201"/>
      <c r="Q27" s="201"/>
      <c r="R27" s="201"/>
      <c r="S27" s="10"/>
    </row>
    <row r="28" spans="1:19" s="41" customFormat="1" ht="13.8" x14ac:dyDescent="0.25">
      <c r="A28" s="75"/>
      <c r="B28" s="573"/>
      <c r="C28" s="573"/>
      <c r="D28" s="573"/>
      <c r="E28" s="573"/>
      <c r="F28" s="573"/>
      <c r="G28" s="573"/>
      <c r="H28" s="573"/>
      <c r="I28" s="573"/>
      <c r="J28" s="573"/>
      <c r="K28" s="573"/>
      <c r="L28" s="573"/>
      <c r="O28" s="15"/>
      <c r="P28" s="12"/>
      <c r="Q28" s="12"/>
      <c r="R28" s="12"/>
      <c r="S28" s="10"/>
    </row>
    <row r="29" spans="1:19" s="41" customFormat="1" ht="5.25" customHeight="1" x14ac:dyDescent="0.25">
      <c r="A29" s="44"/>
      <c r="B29" s="319"/>
      <c r="C29" s="319"/>
      <c r="D29" s="319"/>
      <c r="E29" s="319"/>
      <c r="F29" s="319"/>
      <c r="G29" s="319"/>
      <c r="H29" s="320"/>
      <c r="I29" s="320"/>
      <c r="J29" s="321"/>
      <c r="K29" s="322"/>
      <c r="L29" s="322"/>
      <c r="M29" s="47"/>
      <c r="O29" s="15"/>
      <c r="P29" s="12"/>
      <c r="Q29" s="12"/>
      <c r="R29" s="12"/>
      <c r="S29" s="37"/>
    </row>
    <row r="30" spans="1:19" s="41" customFormat="1" ht="13.8" x14ac:dyDescent="0.25">
      <c r="A30" s="43"/>
      <c r="B30" s="332" t="s">
        <v>26</v>
      </c>
      <c r="C30" s="323"/>
      <c r="D30" s="324"/>
      <c r="E30" s="324"/>
      <c r="F30" s="324"/>
      <c r="G30" s="324"/>
      <c r="H30" s="325"/>
      <c r="I30" s="325"/>
      <c r="J30" s="326"/>
      <c r="K30" s="326"/>
      <c r="L30" s="323"/>
      <c r="O30" s="15"/>
      <c r="P30" s="12"/>
      <c r="Q30" s="12"/>
      <c r="R30" s="12"/>
      <c r="S30" s="37"/>
    </row>
    <row r="31" spans="1:19" s="41" customFormat="1" ht="13.8" x14ac:dyDescent="0.25">
      <c r="A31" s="43"/>
      <c r="B31" s="327"/>
      <c r="C31" s="323"/>
      <c r="D31" s="324"/>
      <c r="E31" s="324"/>
      <c r="F31" s="324"/>
      <c r="G31" s="324"/>
      <c r="H31" s="328"/>
      <c r="I31" s="328" t="s">
        <v>27</v>
      </c>
      <c r="J31" s="324"/>
      <c r="K31" s="323"/>
      <c r="L31" s="329" t="s">
        <v>28</v>
      </c>
      <c r="O31" s="15"/>
      <c r="P31" s="12"/>
      <c r="Q31" s="12"/>
      <c r="R31" s="12"/>
      <c r="S31" s="37"/>
    </row>
    <row r="32" spans="1:19" s="334" customFormat="1" ht="13.8" x14ac:dyDescent="0.25">
      <c r="B32" s="335" t="s">
        <v>29</v>
      </c>
      <c r="C32" s="333" t="s">
        <v>382</v>
      </c>
      <c r="D32" s="314"/>
      <c r="E32" s="314"/>
      <c r="F32" s="314"/>
      <c r="G32" s="318"/>
      <c r="H32" s="318"/>
      <c r="I32" s="574"/>
      <c r="J32" s="574"/>
      <c r="K32" s="574"/>
      <c r="L32" s="336">
        <v>0</v>
      </c>
      <c r="S32" s="337"/>
    </row>
    <row r="33" spans="1:23" s="62" customFormat="1" ht="14.4" thickBot="1" x14ac:dyDescent="0.3">
      <c r="A33" s="60"/>
      <c r="B33" s="61" t="s">
        <v>184</v>
      </c>
      <c r="E33" s="52"/>
      <c r="F33" s="52"/>
      <c r="G33" s="63"/>
      <c r="H33" s="51"/>
      <c r="I33" s="63"/>
      <c r="J33" s="42"/>
      <c r="L33" s="64">
        <f>SUM(L32:L32)</f>
        <v>0</v>
      </c>
      <c r="M33" s="41"/>
      <c r="N33" s="41"/>
      <c r="O33" s="43"/>
      <c r="P33" s="41"/>
      <c r="Q33" s="41"/>
      <c r="R33" s="41"/>
      <c r="S33" s="40"/>
    </row>
    <row r="34" spans="1:23" s="41" customFormat="1" ht="8.25" customHeight="1" thickTop="1" x14ac:dyDescent="0.25">
      <c r="A34" s="65"/>
      <c r="B34" s="66"/>
      <c r="C34" s="66"/>
      <c r="D34" s="66"/>
      <c r="E34" s="66"/>
      <c r="F34" s="66"/>
      <c r="G34" s="66"/>
      <c r="H34" s="66"/>
      <c r="I34" s="66"/>
      <c r="J34" s="67"/>
      <c r="K34" s="67"/>
      <c r="L34" s="47"/>
      <c r="M34" s="47"/>
      <c r="O34" s="43"/>
      <c r="W34" s="40"/>
    </row>
    <row r="35" spans="1:23" s="41" customFormat="1" ht="3.75" customHeight="1" x14ac:dyDescent="0.25">
      <c r="A35" s="39"/>
      <c r="B35" s="68"/>
      <c r="C35" s="68"/>
      <c r="D35" s="68"/>
      <c r="E35" s="68"/>
      <c r="F35" s="68"/>
      <c r="G35" s="68"/>
      <c r="H35" s="68"/>
      <c r="I35" s="68"/>
      <c r="J35" s="69"/>
      <c r="K35" s="69"/>
      <c r="O35" s="43"/>
      <c r="W35" s="40"/>
    </row>
    <row r="36" spans="1:23" s="41" customFormat="1" ht="13.8" x14ac:dyDescent="0.25">
      <c r="A36" s="43"/>
      <c r="B36" s="6" t="s">
        <v>34</v>
      </c>
      <c r="C36" s="70"/>
      <c r="D36" s="70"/>
      <c r="E36" s="70"/>
      <c r="F36" s="70"/>
      <c r="G36" s="70"/>
      <c r="H36" s="70"/>
      <c r="I36" s="70"/>
      <c r="J36" s="89"/>
      <c r="K36" s="89"/>
      <c r="O36" s="43"/>
      <c r="W36" s="40"/>
    </row>
    <row r="37" spans="1:23" s="41" customFormat="1" ht="15" customHeight="1" x14ac:dyDescent="0.25">
      <c r="A37" s="43"/>
      <c r="B37" s="572"/>
      <c r="C37" s="572"/>
      <c r="D37" s="572"/>
      <c r="E37" s="572"/>
      <c r="F37" s="572"/>
      <c r="G37" s="572"/>
      <c r="H37" s="572"/>
      <c r="I37" s="572"/>
      <c r="J37" s="572"/>
      <c r="K37" s="572"/>
      <c r="L37" s="572"/>
      <c r="O37" s="43"/>
      <c r="W37" s="40"/>
    </row>
    <row r="38" spans="1:23" ht="13.8" x14ac:dyDescent="0.25">
      <c r="B38" s="572"/>
      <c r="C38" s="572"/>
      <c r="D38" s="572"/>
      <c r="E38" s="572"/>
      <c r="F38" s="572"/>
      <c r="G38" s="572"/>
      <c r="H38" s="572"/>
      <c r="I38" s="572"/>
      <c r="J38" s="572"/>
      <c r="K38" s="572"/>
      <c r="L38" s="572"/>
      <c r="M38" s="41"/>
      <c r="N38" s="41"/>
      <c r="O38" s="43"/>
      <c r="P38" s="41"/>
      <c r="Q38" s="41"/>
      <c r="R38" s="41"/>
      <c r="S38" s="40"/>
    </row>
    <row r="39" spans="1:23" s="41" customFormat="1" ht="8.25" customHeight="1" thickBot="1" x14ac:dyDescent="0.3">
      <c r="A39" s="77"/>
      <c r="B39" s="78"/>
      <c r="C39" s="78"/>
      <c r="D39" s="78"/>
      <c r="E39" s="78"/>
      <c r="F39" s="78"/>
      <c r="G39" s="78"/>
      <c r="H39" s="78"/>
      <c r="I39" s="78"/>
      <c r="J39" s="79"/>
      <c r="K39" s="79"/>
      <c r="L39" s="80"/>
      <c r="M39" s="80"/>
      <c r="O39" s="43"/>
      <c r="W39" s="40"/>
    </row>
    <row r="40" spans="1:23" s="41" customFormat="1" ht="6.75" customHeight="1" x14ac:dyDescent="0.25">
      <c r="A40" s="39"/>
      <c r="B40" s="68"/>
      <c r="C40" s="68"/>
      <c r="D40" s="68"/>
      <c r="E40" s="68"/>
      <c r="F40" s="68"/>
      <c r="G40" s="68"/>
      <c r="H40" s="68"/>
      <c r="I40" s="68"/>
      <c r="J40" s="69"/>
      <c r="K40" s="69"/>
      <c r="O40" s="43"/>
      <c r="W40" s="40"/>
    </row>
    <row r="41" spans="1:23" ht="13.8" x14ac:dyDescent="0.25">
      <c r="B41" s="48"/>
      <c r="L41" s="41"/>
      <c r="M41" s="41"/>
      <c r="N41" s="41"/>
      <c r="O41" s="43"/>
      <c r="P41" s="41"/>
      <c r="Q41" s="41"/>
      <c r="R41" s="41"/>
      <c r="S41" s="59"/>
    </row>
    <row r="42" spans="1:23" ht="11.25" customHeight="1" x14ac:dyDescent="0.25">
      <c r="B42" s="48"/>
      <c r="L42" s="41"/>
      <c r="M42" s="41"/>
      <c r="N42" s="41"/>
      <c r="O42" s="43"/>
      <c r="P42" s="41"/>
      <c r="Q42" s="41"/>
      <c r="R42" s="41"/>
      <c r="S42" s="59"/>
    </row>
    <row r="43" spans="1:23" ht="13.8" x14ac:dyDescent="0.25">
      <c r="L43" s="41"/>
      <c r="M43" s="41"/>
      <c r="N43" s="41"/>
      <c r="O43" s="43"/>
      <c r="P43" s="41"/>
      <c r="Q43" s="41"/>
      <c r="R43" s="41"/>
      <c r="S43" s="40"/>
    </row>
    <row r="44" spans="1:23" ht="13.8" x14ac:dyDescent="0.25">
      <c r="L44" s="41"/>
      <c r="M44" s="41"/>
      <c r="N44" s="41"/>
      <c r="O44" s="43"/>
      <c r="P44" s="41"/>
      <c r="Q44" s="41"/>
      <c r="R44" s="41"/>
      <c r="S44" s="40"/>
    </row>
    <row r="45" spans="1:23" ht="13.8" x14ac:dyDescent="0.25">
      <c r="O45" s="41"/>
      <c r="P45" s="41"/>
      <c r="Q45" s="41"/>
      <c r="R45" s="41"/>
      <c r="S45" s="40"/>
    </row>
    <row r="46" spans="1:23" ht="13.8" x14ac:dyDescent="0.25">
      <c r="O46" s="41"/>
      <c r="P46" s="41"/>
      <c r="Q46" s="41"/>
      <c r="R46" s="41"/>
      <c r="S46" s="40"/>
    </row>
    <row r="47" spans="1:23" ht="13.8" x14ac:dyDescent="0.25">
      <c r="O47" s="41"/>
      <c r="P47" s="41"/>
      <c r="Q47" s="41"/>
      <c r="R47" s="41"/>
      <c r="S47" s="40"/>
    </row>
    <row r="48" spans="1:23" ht="15.6" x14ac:dyDescent="0.3">
      <c r="O48" s="71"/>
      <c r="P48" s="71"/>
      <c r="Q48" s="71"/>
      <c r="R48" s="71"/>
      <c r="S48" s="72"/>
    </row>
    <row r="49" spans="15:19" ht="15.6" x14ac:dyDescent="0.3">
      <c r="O49" s="71"/>
      <c r="P49" s="71"/>
      <c r="Q49" s="71"/>
      <c r="R49" s="71"/>
      <c r="S49" s="72"/>
    </row>
    <row r="50" spans="15:19" ht="15.6" x14ac:dyDescent="0.3">
      <c r="O50" s="71"/>
      <c r="P50" s="71"/>
      <c r="Q50" s="71"/>
      <c r="R50" s="71"/>
      <c r="S50" s="72"/>
    </row>
    <row r="51" spans="15:19" ht="15.6" x14ac:dyDescent="0.3">
      <c r="O51" s="71"/>
      <c r="P51" s="71"/>
      <c r="Q51" s="71"/>
      <c r="R51" s="71"/>
      <c r="S51" s="72"/>
    </row>
  </sheetData>
  <mergeCells count="4">
    <mergeCell ref="B23:L27"/>
    <mergeCell ref="B37:L38"/>
    <mergeCell ref="B28:L28"/>
    <mergeCell ref="I32:K32"/>
  </mergeCells>
  <dataValidations disablePrompts="1" count="3">
    <dataValidation type="list" allowBlank="1" showInputMessage="1" showErrorMessage="1" sqref="I32:K32">
      <formula1>$O$3:$O$21</formula1>
    </dataValidation>
    <dataValidation allowBlank="1" showErrorMessage="1" promptTitle="Do not change" sqref="B31"/>
    <dataValidation type="list" allowBlank="1" showInputMessage="1" showErrorMessage="1" sqref="G32">
      <formula1>$O$17:$O$19</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W58"/>
  <sheetViews>
    <sheetView topLeftCell="AJ21"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178</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87170</v>
      </c>
      <c r="F5" s="18">
        <v>87170</v>
      </c>
      <c r="G5" s="18">
        <v>55920</v>
      </c>
      <c r="I5" s="86" t="s">
        <v>38</v>
      </c>
      <c r="J5" s="73"/>
      <c r="K5" s="73"/>
      <c r="L5" s="73">
        <v>0</v>
      </c>
      <c r="O5" s="15" t="s">
        <v>4</v>
      </c>
      <c r="S5" s="10">
        <f t="shared" si="0"/>
        <v>0</v>
      </c>
    </row>
    <row r="6" spans="1:19" x14ac:dyDescent="0.25">
      <c r="B6" s="16" t="s">
        <v>7</v>
      </c>
      <c r="C6" s="17"/>
      <c r="D6" s="12"/>
      <c r="E6" s="18">
        <v>87170</v>
      </c>
      <c r="F6" s="18">
        <v>87170</v>
      </c>
      <c r="G6" s="18">
        <v>55920</v>
      </c>
      <c r="I6" s="87" t="s">
        <v>39</v>
      </c>
      <c r="J6" s="18">
        <v>0</v>
      </c>
      <c r="K6" s="18">
        <v>0</v>
      </c>
      <c r="L6" s="18">
        <v>20000</v>
      </c>
      <c r="O6" s="15" t="s">
        <v>6</v>
      </c>
      <c r="S6" s="10">
        <f t="shared" si="0"/>
        <v>0</v>
      </c>
    </row>
    <row r="7" spans="1:19" x14ac:dyDescent="0.25">
      <c r="B7" s="21" t="s">
        <v>9</v>
      </c>
      <c r="C7" s="22"/>
      <c r="D7" s="23"/>
      <c r="E7" s="24">
        <v>56394</v>
      </c>
      <c r="F7" s="24">
        <v>73598</v>
      </c>
      <c r="G7" s="24">
        <f>G6-L6</f>
        <v>35920</v>
      </c>
      <c r="I7" s="87" t="s">
        <v>40</v>
      </c>
      <c r="J7" s="18">
        <v>27000</v>
      </c>
      <c r="K7" s="18">
        <v>9900</v>
      </c>
      <c r="L7" s="18">
        <f>+L36</f>
        <v>23700</v>
      </c>
      <c r="O7" s="15" t="s">
        <v>8</v>
      </c>
      <c r="P7" s="20"/>
      <c r="S7" s="10">
        <f t="shared" si="0"/>
        <v>0</v>
      </c>
    </row>
    <row r="8" spans="1:19" x14ac:dyDescent="0.25">
      <c r="B8" s="26" t="s">
        <v>11</v>
      </c>
      <c r="C8" s="27"/>
      <c r="D8" s="28"/>
      <c r="E8" s="29">
        <v>30776</v>
      </c>
      <c r="F8" s="29">
        <v>13572</v>
      </c>
      <c r="G8" s="29">
        <f>G6-G7</f>
        <v>20000</v>
      </c>
      <c r="I8" s="88" t="s">
        <v>43</v>
      </c>
      <c r="J8" s="74">
        <f>E8</f>
        <v>30776</v>
      </c>
      <c r="K8" s="74">
        <f>F8</f>
        <v>13572</v>
      </c>
      <c r="L8" s="74"/>
      <c r="O8" s="15" t="s">
        <v>10</v>
      </c>
      <c r="P8" s="25"/>
      <c r="S8" s="10">
        <f t="shared" si="0"/>
        <v>0</v>
      </c>
    </row>
    <row r="9" spans="1:19" x14ac:dyDescent="0.25">
      <c r="B9" s="32" t="s">
        <v>37</v>
      </c>
      <c r="C9" s="33"/>
      <c r="D9" s="23"/>
      <c r="E9" s="34">
        <f>IF(ISERROR(IF(E8=0,"",(E8/$E$5))),"",(IF(E8=0,"",(E8/$E$5))))</f>
        <v>0.35305724446483883</v>
      </c>
      <c r="F9" s="34">
        <f>IF(ISERROR(IF(F8=0,"",(F8/$F$5))),"",(IF(F8=0,"",(F8/$F$5))))</f>
        <v>0.15569576689227946</v>
      </c>
      <c r="G9" s="34">
        <f>IF(ISERROR(IF(G8=0,"",(G8/$G$5))),"",(IF(G8=0,"",(G8/$G$5))))</f>
        <v>0.35765379113018597</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3700</v>
      </c>
    </row>
    <row r="15" spans="1:19" x14ac:dyDescent="0.25">
      <c r="O15" s="15" t="s">
        <v>18</v>
      </c>
      <c r="P15" s="36"/>
      <c r="Q15" s="36"/>
      <c r="S15" s="10">
        <f t="shared" si="0"/>
        <v>20000</v>
      </c>
    </row>
    <row r="16" spans="1:19"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23700</v>
      </c>
    </row>
    <row r="23" spans="1:19" s="41" customFormat="1" ht="15" customHeight="1" x14ac:dyDescent="0.25">
      <c r="A23" s="39"/>
      <c r="B23" s="572" t="s">
        <v>398</v>
      </c>
      <c r="C23" s="572"/>
      <c r="D23" s="572"/>
      <c r="E23" s="572"/>
      <c r="F23" s="572"/>
      <c r="G23" s="572"/>
      <c r="H23" s="572"/>
      <c r="I23" s="572"/>
      <c r="J23" s="572"/>
      <c r="K23" s="572"/>
      <c r="L23" s="572"/>
      <c r="O23" s="15"/>
      <c r="P23" s="12"/>
      <c r="Q23" s="12"/>
      <c r="R23" s="12"/>
      <c r="S23" s="10"/>
    </row>
    <row r="24" spans="1:19" s="41" customFormat="1" ht="15" customHeight="1" x14ac:dyDescent="0.25">
      <c r="A24" s="39"/>
      <c r="B24" s="572"/>
      <c r="C24" s="572"/>
      <c r="D24" s="572"/>
      <c r="E24" s="572"/>
      <c r="F24" s="572"/>
      <c r="G24" s="572"/>
      <c r="H24" s="572"/>
      <c r="I24" s="572"/>
      <c r="J24" s="572"/>
      <c r="K24" s="572"/>
      <c r="L24" s="572"/>
      <c r="O24" s="15"/>
      <c r="P24" s="12"/>
      <c r="Q24" s="12"/>
      <c r="R24" s="12"/>
      <c r="S24" s="10"/>
    </row>
    <row r="25" spans="1:19" s="41" customFormat="1" ht="15" customHeight="1" x14ac:dyDescent="0.25">
      <c r="A25" s="39"/>
      <c r="B25" s="572"/>
      <c r="C25" s="572"/>
      <c r="D25" s="572"/>
      <c r="E25" s="572"/>
      <c r="F25" s="572"/>
      <c r="G25" s="572"/>
      <c r="H25" s="572"/>
      <c r="I25" s="572"/>
      <c r="J25" s="572"/>
      <c r="K25" s="572"/>
      <c r="L25" s="572"/>
      <c r="O25" s="15"/>
      <c r="P25" s="12"/>
      <c r="Q25" s="12"/>
      <c r="R25" s="12"/>
      <c r="S25" s="10"/>
    </row>
    <row r="26" spans="1:19" s="41" customFormat="1" ht="15" customHeight="1" x14ac:dyDescent="0.25">
      <c r="A26" s="39"/>
      <c r="B26" s="572"/>
      <c r="C26" s="572"/>
      <c r="D26" s="572"/>
      <c r="E26" s="572"/>
      <c r="F26" s="572"/>
      <c r="G26" s="572"/>
      <c r="H26" s="572"/>
      <c r="I26" s="572"/>
      <c r="J26" s="572"/>
      <c r="K26" s="572"/>
      <c r="L26" s="572"/>
      <c r="O26" s="15"/>
      <c r="P26" s="12"/>
      <c r="Q26" s="12"/>
      <c r="R26" s="12"/>
      <c r="S26" s="10"/>
    </row>
    <row r="27" spans="1:19" s="41" customFormat="1" ht="13.8" x14ac:dyDescent="0.25">
      <c r="A27" s="39"/>
      <c r="B27" s="572"/>
      <c r="C27" s="572"/>
      <c r="D27" s="572"/>
      <c r="E27" s="572"/>
      <c r="F27" s="572"/>
      <c r="G27" s="572"/>
      <c r="H27" s="572"/>
      <c r="I27" s="572"/>
      <c r="J27" s="572"/>
      <c r="K27" s="572"/>
      <c r="L27" s="572"/>
      <c r="O27" s="15"/>
      <c r="P27" s="12"/>
      <c r="Q27" s="12"/>
      <c r="R27" s="12"/>
      <c r="S27" s="10"/>
    </row>
    <row r="28" spans="1:19" s="41" customFormat="1" ht="15.75" customHeight="1" x14ac:dyDescent="0.25">
      <c r="A28" s="39"/>
      <c r="B28" s="572"/>
      <c r="C28" s="572"/>
      <c r="D28" s="572"/>
      <c r="E28" s="572"/>
      <c r="F28" s="572"/>
      <c r="G28" s="572"/>
      <c r="H28" s="572"/>
      <c r="I28" s="572"/>
      <c r="J28" s="572"/>
      <c r="K28" s="572"/>
      <c r="L28" s="572"/>
      <c r="O28" s="15"/>
      <c r="P28" s="12"/>
      <c r="Q28" s="12"/>
      <c r="R28" s="12"/>
      <c r="S28" s="10"/>
    </row>
    <row r="29" spans="1:19" s="41" customFormat="1" ht="5.25" customHeight="1" x14ac:dyDescent="0.25">
      <c r="A29" s="44"/>
      <c r="B29" s="44"/>
      <c r="C29" s="44"/>
      <c r="D29" s="44"/>
      <c r="E29" s="44"/>
      <c r="F29" s="44"/>
      <c r="G29" s="44"/>
      <c r="H29" s="45"/>
      <c r="I29" s="45"/>
      <c r="J29" s="46"/>
      <c r="K29" s="47"/>
      <c r="L29" s="47"/>
      <c r="M29" s="47"/>
      <c r="O29" s="15"/>
      <c r="P29" s="12"/>
      <c r="Q29" s="12"/>
      <c r="R29" s="12"/>
      <c r="S29" s="37"/>
    </row>
    <row r="30" spans="1:19" s="41" customFormat="1" ht="13.8" x14ac:dyDescent="0.25">
      <c r="A30" s="43"/>
      <c r="B30" s="48" t="s">
        <v>26</v>
      </c>
      <c r="D30" s="42"/>
      <c r="E30" s="42"/>
      <c r="F30" s="42"/>
      <c r="G30" s="42"/>
      <c r="H30" s="49"/>
      <c r="I30" s="50"/>
      <c r="J30" s="51"/>
      <c r="K30" s="51"/>
      <c r="O30" s="15"/>
      <c r="P30" s="12"/>
      <c r="Q30" s="12"/>
      <c r="R30" s="12"/>
      <c r="S30" s="37"/>
    </row>
    <row r="31" spans="1:19" s="41" customFormat="1" ht="13.8" x14ac:dyDescent="0.25">
      <c r="A31" s="43"/>
      <c r="B31" s="52"/>
      <c r="D31" s="42"/>
      <c r="E31" s="42"/>
      <c r="F31" s="42"/>
      <c r="G31" s="42"/>
      <c r="H31" s="53"/>
      <c r="I31" s="53" t="s">
        <v>27</v>
      </c>
      <c r="J31" s="42"/>
      <c r="L31" s="54" t="s">
        <v>28</v>
      </c>
      <c r="O31" s="15"/>
      <c r="P31" s="12"/>
      <c r="Q31" s="12"/>
      <c r="R31" s="12"/>
      <c r="S31" s="37"/>
    </row>
    <row r="32" spans="1:19" s="41" customFormat="1" ht="13.8" x14ac:dyDescent="0.25">
      <c r="A32" s="43"/>
      <c r="B32" s="55" t="s">
        <v>29</v>
      </c>
      <c r="C32" s="260" t="s">
        <v>310</v>
      </c>
      <c r="D32" s="253"/>
      <c r="E32" s="253"/>
      <c r="F32" s="253"/>
      <c r="G32" s="261"/>
      <c r="H32" s="261"/>
      <c r="I32" s="575" t="s">
        <v>18</v>
      </c>
      <c r="J32" s="575"/>
      <c r="K32" s="575"/>
      <c r="L32" s="219">
        <v>20000</v>
      </c>
      <c r="M32" s="331" t="s">
        <v>208</v>
      </c>
      <c r="N32" s="331"/>
      <c r="O32" s="43"/>
      <c r="S32" s="40"/>
    </row>
    <row r="33" spans="1:23" s="41" customFormat="1" ht="13.8" x14ac:dyDescent="0.25">
      <c r="A33" s="43"/>
      <c r="B33" s="55" t="s">
        <v>30</v>
      </c>
      <c r="C33" s="260" t="s">
        <v>309</v>
      </c>
      <c r="D33" s="253"/>
      <c r="E33" s="253"/>
      <c r="F33" s="253"/>
      <c r="G33" s="261"/>
      <c r="H33" s="261"/>
      <c r="I33" s="575" t="s">
        <v>17</v>
      </c>
      <c r="J33" s="575"/>
      <c r="K33" s="575"/>
      <c r="L33" s="220">
        <v>3700</v>
      </c>
      <c r="M33" s="331" t="s">
        <v>208</v>
      </c>
      <c r="N33" s="331"/>
      <c r="O33" s="43"/>
      <c r="S33" s="40"/>
    </row>
    <row r="34" spans="1:23" s="41" customFormat="1" ht="13.8" hidden="1" x14ac:dyDescent="0.25">
      <c r="A34" s="43"/>
      <c r="B34" s="55" t="s">
        <v>31</v>
      </c>
      <c r="C34" s="260"/>
      <c r="D34" s="253"/>
      <c r="E34" s="253"/>
      <c r="F34" s="253"/>
      <c r="G34" s="261"/>
      <c r="H34" s="261"/>
      <c r="I34" s="575"/>
      <c r="J34" s="575"/>
      <c r="K34" s="575"/>
      <c r="L34" s="220"/>
      <c r="M34" s="331" t="s">
        <v>208</v>
      </c>
      <c r="N34" s="331"/>
      <c r="O34" s="43"/>
      <c r="S34" s="40"/>
    </row>
    <row r="35" spans="1:23" s="41" customFormat="1" ht="13.8" hidden="1" x14ac:dyDescent="0.25">
      <c r="A35" s="43"/>
      <c r="B35" s="55" t="s">
        <v>32</v>
      </c>
      <c r="C35" s="260"/>
      <c r="D35" s="253"/>
      <c r="E35" s="253"/>
      <c r="F35" s="253"/>
      <c r="G35" s="261"/>
      <c r="H35" s="261"/>
      <c r="I35" s="575"/>
      <c r="J35" s="575"/>
      <c r="K35" s="575"/>
      <c r="L35" s="220"/>
      <c r="M35" s="331" t="s">
        <v>208</v>
      </c>
      <c r="N35" s="331"/>
      <c r="O35" s="43"/>
      <c r="S35" s="40"/>
    </row>
    <row r="36" spans="1:23" s="62" customFormat="1" ht="14.4" thickBot="1" x14ac:dyDescent="0.3">
      <c r="A36" s="60"/>
      <c r="B36" s="61" t="s">
        <v>184</v>
      </c>
      <c r="E36" s="52"/>
      <c r="F36" s="52"/>
      <c r="G36" s="63"/>
      <c r="H36" s="51"/>
      <c r="I36" s="63"/>
      <c r="J36" s="42"/>
      <c r="L36" s="64">
        <f>SUM(L32:L35)</f>
        <v>23700</v>
      </c>
      <c r="M36" s="331"/>
      <c r="N36" s="331"/>
      <c r="O36" s="43"/>
      <c r="P36" s="41"/>
      <c r="Q36" s="41"/>
      <c r="R36" s="41"/>
      <c r="S36" s="40"/>
    </row>
    <row r="37" spans="1:23" s="41" customFormat="1" ht="8.25" customHeight="1" thickTop="1" x14ac:dyDescent="0.25">
      <c r="A37" s="65"/>
      <c r="B37" s="66"/>
      <c r="C37" s="66"/>
      <c r="D37" s="66"/>
      <c r="E37" s="66"/>
      <c r="F37" s="66"/>
      <c r="G37" s="66"/>
      <c r="H37" s="66"/>
      <c r="I37" s="66"/>
      <c r="J37" s="67"/>
      <c r="K37" s="67"/>
      <c r="L37" s="47"/>
      <c r="M37" s="47"/>
      <c r="O37" s="43"/>
      <c r="W37" s="40"/>
    </row>
    <row r="38" spans="1:23" s="41" customFormat="1" ht="3.75" customHeight="1" x14ac:dyDescent="0.25">
      <c r="A38" s="39"/>
      <c r="B38" s="68"/>
      <c r="C38" s="68"/>
      <c r="D38" s="68"/>
      <c r="E38" s="68"/>
      <c r="F38" s="68"/>
      <c r="G38" s="68"/>
      <c r="H38" s="68"/>
      <c r="I38" s="68"/>
      <c r="J38" s="69"/>
      <c r="K38" s="69"/>
      <c r="O38" s="43"/>
      <c r="W38" s="40"/>
    </row>
    <row r="39" spans="1:23" s="41" customFormat="1" ht="13.8" x14ac:dyDescent="0.25">
      <c r="A39" s="43"/>
      <c r="B39" s="6" t="s">
        <v>34</v>
      </c>
      <c r="C39" s="70"/>
      <c r="D39" s="70"/>
      <c r="E39" s="70"/>
      <c r="F39" s="70"/>
      <c r="G39" s="70"/>
      <c r="H39" s="70"/>
      <c r="I39" s="70"/>
      <c r="J39" s="89"/>
      <c r="K39" s="89"/>
      <c r="O39" s="43"/>
      <c r="W39" s="40"/>
    </row>
    <row r="40" spans="1:23" s="41" customFormat="1" ht="15" customHeight="1" x14ac:dyDescent="0.25">
      <c r="A40" s="43"/>
      <c r="B40" s="572"/>
      <c r="C40" s="572"/>
      <c r="D40" s="572"/>
      <c r="E40" s="572"/>
      <c r="F40" s="572"/>
      <c r="G40" s="572"/>
      <c r="H40" s="572"/>
      <c r="I40" s="572"/>
      <c r="J40" s="572"/>
      <c r="K40" s="572"/>
      <c r="L40" s="572"/>
      <c r="O40" s="43"/>
      <c r="W40" s="40"/>
    </row>
    <row r="41" spans="1:23" s="41" customFormat="1" ht="15" customHeight="1" x14ac:dyDescent="0.25">
      <c r="A41" s="43"/>
      <c r="B41" s="572"/>
      <c r="C41" s="572"/>
      <c r="D41" s="572"/>
      <c r="E41" s="572"/>
      <c r="F41" s="572"/>
      <c r="G41" s="572"/>
      <c r="H41" s="572"/>
      <c r="I41" s="572"/>
      <c r="J41" s="572"/>
      <c r="K41" s="572"/>
      <c r="L41" s="572"/>
      <c r="O41" s="43"/>
      <c r="W41" s="40"/>
    </row>
    <row r="42" spans="1:23" s="41" customFormat="1" ht="15" customHeight="1" x14ac:dyDescent="0.25">
      <c r="A42" s="43"/>
      <c r="B42" s="572"/>
      <c r="C42" s="572"/>
      <c r="D42" s="572"/>
      <c r="E42" s="572"/>
      <c r="F42" s="572"/>
      <c r="G42" s="572"/>
      <c r="H42" s="572"/>
      <c r="I42" s="572"/>
      <c r="J42" s="572"/>
      <c r="K42" s="572"/>
      <c r="L42" s="572"/>
      <c r="O42" s="43"/>
      <c r="W42" s="40"/>
    </row>
    <row r="43" spans="1:23" s="41" customFormat="1" ht="15" customHeight="1" x14ac:dyDescent="0.25">
      <c r="A43" s="43"/>
      <c r="B43" s="572"/>
      <c r="C43" s="572"/>
      <c r="D43" s="572"/>
      <c r="E43" s="572"/>
      <c r="F43" s="572"/>
      <c r="G43" s="572"/>
      <c r="H43" s="572"/>
      <c r="I43" s="572"/>
      <c r="J43" s="572"/>
      <c r="K43" s="572"/>
      <c r="L43" s="572"/>
      <c r="O43" s="43"/>
      <c r="W43" s="40"/>
    </row>
    <row r="44" spans="1:23" s="41" customFormat="1" ht="15" customHeight="1" x14ac:dyDescent="0.25">
      <c r="A44" s="43"/>
      <c r="B44" s="572"/>
      <c r="C44" s="572"/>
      <c r="D44" s="572"/>
      <c r="E44" s="572"/>
      <c r="F44" s="572"/>
      <c r="G44" s="572"/>
      <c r="H44" s="572"/>
      <c r="I44" s="572"/>
      <c r="J44" s="572"/>
      <c r="K44" s="572"/>
      <c r="L44" s="572"/>
      <c r="O44" s="43"/>
      <c r="W44" s="40"/>
    </row>
    <row r="45" spans="1:23" ht="13.8" x14ac:dyDescent="0.25">
      <c r="B45" s="572"/>
      <c r="C45" s="572"/>
      <c r="D45" s="572"/>
      <c r="E45" s="572"/>
      <c r="F45" s="572"/>
      <c r="G45" s="572"/>
      <c r="H45" s="572"/>
      <c r="I45" s="572"/>
      <c r="J45" s="572"/>
      <c r="K45" s="572"/>
      <c r="L45" s="572"/>
      <c r="M45" s="41"/>
      <c r="N45" s="41"/>
      <c r="O45" s="43"/>
      <c r="P45" s="41"/>
      <c r="Q45" s="41"/>
      <c r="R45" s="41"/>
      <c r="S45" s="40"/>
    </row>
    <row r="46" spans="1:23" s="41" customFormat="1" ht="8.25" customHeight="1" thickBot="1" x14ac:dyDescent="0.3">
      <c r="A46" s="77"/>
      <c r="B46" s="78"/>
      <c r="C46" s="78"/>
      <c r="D46" s="78"/>
      <c r="E46" s="78"/>
      <c r="F46" s="78"/>
      <c r="G46" s="78"/>
      <c r="H46" s="78"/>
      <c r="I46" s="78"/>
      <c r="J46" s="79"/>
      <c r="K46" s="79"/>
      <c r="L46" s="80"/>
      <c r="M46" s="80"/>
      <c r="O46" s="43"/>
      <c r="W46" s="40"/>
    </row>
    <row r="47" spans="1:23" s="41" customFormat="1" ht="6.75" customHeight="1" x14ac:dyDescent="0.25">
      <c r="A47" s="39"/>
      <c r="B47" s="68"/>
      <c r="C47" s="68"/>
      <c r="D47" s="68"/>
      <c r="E47" s="68"/>
      <c r="F47" s="68"/>
      <c r="G47" s="68"/>
      <c r="H47" s="68"/>
      <c r="I47" s="68"/>
      <c r="J47" s="69"/>
      <c r="K47" s="69"/>
      <c r="O47" s="43"/>
      <c r="W47" s="40"/>
    </row>
    <row r="48" spans="1:23" ht="13.8" x14ac:dyDescent="0.25">
      <c r="B48" s="48"/>
      <c r="L48" s="41"/>
      <c r="M48" s="41"/>
      <c r="N48" s="41"/>
      <c r="O48" s="43"/>
      <c r="P48" s="41"/>
      <c r="Q48" s="41"/>
      <c r="R48" s="41"/>
      <c r="S48" s="59"/>
    </row>
    <row r="49" spans="2:19" ht="11.25" customHeight="1" x14ac:dyDescent="0.25">
      <c r="B49" s="48"/>
      <c r="L49" s="41"/>
      <c r="M49" s="41"/>
      <c r="N49" s="41"/>
      <c r="O49" s="43"/>
      <c r="P49" s="41"/>
      <c r="Q49" s="41"/>
      <c r="R49" s="41"/>
      <c r="S49" s="59"/>
    </row>
    <row r="50" spans="2:19" ht="13.8" x14ac:dyDescent="0.25">
      <c r="L50" s="41"/>
      <c r="M50" s="41"/>
      <c r="N50" s="41"/>
      <c r="O50" s="43"/>
      <c r="P50" s="41"/>
      <c r="Q50" s="41"/>
      <c r="R50" s="41"/>
      <c r="S50" s="40"/>
    </row>
    <row r="51" spans="2:19" ht="13.8" x14ac:dyDescent="0.25">
      <c r="L51" s="41"/>
      <c r="M51" s="41"/>
      <c r="N51" s="41"/>
      <c r="O51" s="43"/>
      <c r="P51" s="41"/>
      <c r="Q51" s="41"/>
      <c r="R51" s="41"/>
      <c r="S51" s="40"/>
    </row>
    <row r="52" spans="2:19" ht="13.8" x14ac:dyDescent="0.25">
      <c r="O52" s="41"/>
      <c r="P52" s="41"/>
      <c r="Q52" s="41"/>
      <c r="R52" s="41"/>
      <c r="S52" s="40"/>
    </row>
    <row r="53" spans="2:19" ht="13.8" x14ac:dyDescent="0.25">
      <c r="O53" s="41"/>
      <c r="P53" s="41"/>
      <c r="Q53" s="41"/>
      <c r="R53" s="41"/>
      <c r="S53" s="40"/>
    </row>
    <row r="54" spans="2:19" ht="13.8" x14ac:dyDescent="0.25">
      <c r="O54" s="41"/>
      <c r="P54" s="41"/>
      <c r="Q54" s="41"/>
      <c r="R54" s="41"/>
      <c r="S54" s="40"/>
    </row>
    <row r="55" spans="2:19" ht="15.6" x14ac:dyDescent="0.3">
      <c r="O55" s="71"/>
      <c r="P55" s="71"/>
      <c r="Q55" s="71"/>
      <c r="R55" s="71"/>
      <c r="S55" s="72"/>
    </row>
    <row r="56" spans="2:19" ht="15.6" x14ac:dyDescent="0.3">
      <c r="O56" s="71"/>
      <c r="P56" s="71"/>
      <c r="Q56" s="71"/>
      <c r="R56" s="71"/>
      <c r="S56" s="72"/>
    </row>
    <row r="57" spans="2:19" ht="15.6" x14ac:dyDescent="0.3">
      <c r="O57" s="71"/>
      <c r="P57" s="71"/>
      <c r="Q57" s="71"/>
      <c r="R57" s="71"/>
      <c r="S57" s="72"/>
    </row>
    <row r="58" spans="2:19" ht="15.6" x14ac:dyDescent="0.3">
      <c r="O58" s="71"/>
      <c r="P58" s="71"/>
      <c r="Q58" s="71"/>
      <c r="R58" s="71"/>
      <c r="S58" s="72"/>
    </row>
  </sheetData>
  <mergeCells count="6">
    <mergeCell ref="B23:L28"/>
    <mergeCell ref="I35:K35"/>
    <mergeCell ref="B40:L45"/>
    <mergeCell ref="I32:K32"/>
    <mergeCell ref="I33:K33"/>
    <mergeCell ref="I34:K34"/>
  </mergeCells>
  <dataValidations count="3">
    <dataValidation type="list" allowBlank="1" showInputMessage="1" showErrorMessage="1" sqref="G32:G35">
      <formula1>$O$17:$O$19</formula1>
    </dataValidation>
    <dataValidation allowBlank="1" showErrorMessage="1" promptTitle="Do not change" sqref="B31"/>
    <dataValidation type="list" allowBlank="1" showInputMessage="1" showErrorMessage="1" sqref="I32:K35">
      <formula1>$O$3:$O$21</formula1>
    </dataValidation>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1"/>
  <sheetViews>
    <sheetView view="pageBreakPreview"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156</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798453</v>
      </c>
      <c r="F5" s="18">
        <v>741281</v>
      </c>
      <c r="G5" s="18">
        <v>721424</v>
      </c>
      <c r="I5" s="86" t="s">
        <v>38</v>
      </c>
      <c r="J5" s="73"/>
      <c r="K5" s="73"/>
      <c r="L5" s="73">
        <v>0</v>
      </c>
      <c r="O5" s="15" t="s">
        <v>4</v>
      </c>
      <c r="S5" s="10">
        <f t="shared" si="0"/>
        <v>0</v>
      </c>
    </row>
    <row r="6" spans="1:19" x14ac:dyDescent="0.25">
      <c r="B6" s="16" t="s">
        <v>7</v>
      </c>
      <c r="C6" s="17"/>
      <c r="D6" s="12"/>
      <c r="E6" s="18">
        <v>798453</v>
      </c>
      <c r="F6" s="18">
        <v>741281</v>
      </c>
      <c r="G6" s="18">
        <f>+G5</f>
        <v>721424</v>
      </c>
      <c r="I6" s="87" t="s">
        <v>39</v>
      </c>
      <c r="J6" s="18">
        <v>0</v>
      </c>
      <c r="K6" s="18">
        <v>0</v>
      </c>
      <c r="L6" s="18">
        <v>0</v>
      </c>
      <c r="O6" s="15" t="s">
        <v>6</v>
      </c>
      <c r="S6" s="10">
        <f t="shared" si="0"/>
        <v>0</v>
      </c>
    </row>
    <row r="7" spans="1:19" x14ac:dyDescent="0.25">
      <c r="B7" s="21" t="s">
        <v>9</v>
      </c>
      <c r="C7" s="22"/>
      <c r="D7" s="23"/>
      <c r="E7" s="24">
        <v>788030</v>
      </c>
      <c r="F7" s="24">
        <v>738809</v>
      </c>
      <c r="G7" s="24">
        <f>G6-L6</f>
        <v>721424</v>
      </c>
      <c r="I7" s="87" t="s">
        <v>40</v>
      </c>
      <c r="J7" s="18">
        <v>0</v>
      </c>
      <c r="K7" s="18">
        <v>0</v>
      </c>
      <c r="L7" s="18">
        <f>+L33</f>
        <v>0</v>
      </c>
      <c r="O7" s="15" t="s">
        <v>8</v>
      </c>
      <c r="P7" s="20"/>
      <c r="S7" s="10">
        <f t="shared" si="0"/>
        <v>0</v>
      </c>
    </row>
    <row r="8" spans="1:19" x14ac:dyDescent="0.25">
      <c r="B8" s="26" t="s">
        <v>11</v>
      </c>
      <c r="C8" s="27"/>
      <c r="D8" s="28"/>
      <c r="E8" s="29">
        <v>10423</v>
      </c>
      <c r="F8" s="29">
        <v>2472</v>
      </c>
      <c r="G8" s="29">
        <f>G6-G7</f>
        <v>0</v>
      </c>
      <c r="I8" s="88" t="s">
        <v>43</v>
      </c>
      <c r="J8" s="74">
        <f>E8</f>
        <v>10423</v>
      </c>
      <c r="K8" s="74">
        <f>F8</f>
        <v>2472</v>
      </c>
      <c r="L8" s="74"/>
      <c r="O8" s="15" t="s">
        <v>10</v>
      </c>
      <c r="P8" s="25"/>
      <c r="S8" s="10">
        <f t="shared" si="0"/>
        <v>0</v>
      </c>
    </row>
    <row r="9" spans="1:19" x14ac:dyDescent="0.25">
      <c r="B9" s="32" t="s">
        <v>37</v>
      </c>
      <c r="C9" s="33"/>
      <c r="D9" s="23"/>
      <c r="E9" s="34">
        <f>IF(ISERROR(IF(E8=0,"",(E8/$E$5))),"",(IF(E8=0,"",(E8/$E$5))))</f>
        <v>1.3053993159271741E-2</v>
      </c>
      <c r="F9" s="34">
        <f>IF(ISERROR(IF(F8=0,"",(F8/$F$5))),"",(IF(F8=0,"",(F8/$F$5))))</f>
        <v>3.334767787114468E-3</v>
      </c>
      <c r="G9" s="34" t="str">
        <f>IF(ISERROR(IF(G8=0,"",(G8/$G$5))),"",(IF(G8=0,"",(G8/$G$5))))</f>
        <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0</v>
      </c>
    </row>
    <row r="23" spans="1:19" s="41" customFormat="1" ht="15" customHeight="1" x14ac:dyDescent="0.25">
      <c r="A23" s="39"/>
      <c r="B23" s="571" t="s">
        <v>330</v>
      </c>
      <c r="C23" s="571"/>
      <c r="D23" s="571"/>
      <c r="E23" s="571"/>
      <c r="F23" s="571"/>
      <c r="G23" s="571"/>
      <c r="H23" s="571"/>
      <c r="I23" s="571"/>
      <c r="J23" s="571"/>
      <c r="K23" s="571"/>
      <c r="L23" s="571"/>
      <c r="O23" s="15"/>
      <c r="P23" s="12"/>
      <c r="Q23" s="12"/>
      <c r="R23" s="12"/>
      <c r="S23" s="10"/>
    </row>
    <row r="24" spans="1:19" s="41" customFormat="1" ht="15" customHeight="1" x14ac:dyDescent="0.25">
      <c r="A24" s="39"/>
      <c r="B24" s="571"/>
      <c r="C24" s="571"/>
      <c r="D24" s="571"/>
      <c r="E24" s="571"/>
      <c r="F24" s="571"/>
      <c r="G24" s="571"/>
      <c r="H24" s="571"/>
      <c r="I24" s="571"/>
      <c r="J24" s="571"/>
      <c r="K24" s="571"/>
      <c r="L24" s="571"/>
      <c r="O24" s="15"/>
      <c r="P24" s="12"/>
      <c r="Q24" s="12"/>
      <c r="R24" s="12"/>
      <c r="S24" s="10"/>
    </row>
    <row r="25" spans="1:19" s="41" customFormat="1" ht="15" customHeight="1" x14ac:dyDescent="0.25">
      <c r="A25" s="39"/>
      <c r="B25" s="571"/>
      <c r="C25" s="571"/>
      <c r="D25" s="571"/>
      <c r="E25" s="571"/>
      <c r="F25" s="571"/>
      <c r="G25" s="571"/>
      <c r="H25" s="571"/>
      <c r="I25" s="571"/>
      <c r="J25" s="571"/>
      <c r="K25" s="571"/>
      <c r="L25" s="571"/>
      <c r="O25" s="15"/>
      <c r="P25" s="12"/>
      <c r="Q25" s="12"/>
      <c r="R25" s="12"/>
      <c r="S25" s="10"/>
    </row>
    <row r="26" spans="1:19" s="41" customFormat="1" ht="15" customHeight="1"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3.8" x14ac:dyDescent="0.25">
      <c r="A28" s="44"/>
      <c r="B28" s="319"/>
      <c r="C28" s="319"/>
      <c r="D28" s="319"/>
      <c r="E28" s="319"/>
      <c r="F28" s="319"/>
      <c r="G28" s="319"/>
      <c r="H28" s="320"/>
      <c r="I28" s="320"/>
      <c r="J28" s="321"/>
      <c r="K28" s="322"/>
      <c r="L28" s="322"/>
      <c r="M28" s="47"/>
      <c r="O28" s="15"/>
      <c r="P28" s="12"/>
      <c r="Q28" s="12"/>
      <c r="R28" s="12"/>
      <c r="S28" s="37"/>
    </row>
    <row r="29" spans="1:19" s="41" customFormat="1" ht="13.8" x14ac:dyDescent="0.25">
      <c r="A29" s="43"/>
      <c r="B29" s="48" t="s">
        <v>26</v>
      </c>
      <c r="D29" s="42"/>
      <c r="E29" s="42"/>
      <c r="F29" s="42"/>
      <c r="G29" s="42"/>
      <c r="H29" s="49"/>
      <c r="I29" s="50"/>
      <c r="J29" s="51"/>
      <c r="K29" s="51"/>
      <c r="O29" s="15"/>
      <c r="P29" s="12"/>
      <c r="Q29" s="12"/>
      <c r="R29" s="12"/>
      <c r="S29" s="37"/>
    </row>
    <row r="30" spans="1:19" s="41" customFormat="1" ht="13.8" x14ac:dyDescent="0.25">
      <c r="A30" s="43"/>
      <c r="B30" s="52"/>
      <c r="D30" s="42"/>
      <c r="E30" s="42"/>
      <c r="F30" s="42"/>
      <c r="G30" s="42"/>
      <c r="H30" s="53"/>
      <c r="I30" s="53" t="s">
        <v>27</v>
      </c>
      <c r="J30" s="42"/>
      <c r="L30" s="54" t="s">
        <v>28</v>
      </c>
      <c r="O30" s="15"/>
      <c r="P30" s="12"/>
      <c r="Q30" s="12"/>
      <c r="R30" s="12"/>
      <c r="S30" s="37"/>
    </row>
    <row r="31" spans="1:19" s="41" customFormat="1" ht="13.8" x14ac:dyDescent="0.25">
      <c r="A31" s="43"/>
      <c r="B31" s="55" t="s">
        <v>29</v>
      </c>
      <c r="C31" s="333" t="s">
        <v>382</v>
      </c>
      <c r="D31" s="253"/>
      <c r="E31" s="253"/>
      <c r="F31" s="253"/>
      <c r="G31" s="261"/>
      <c r="H31" s="261"/>
      <c r="I31" s="575"/>
      <c r="J31" s="575"/>
      <c r="K31" s="575"/>
      <c r="L31" s="219">
        <v>0</v>
      </c>
      <c r="M31" s="331"/>
      <c r="N31" s="331"/>
      <c r="O31" s="43"/>
      <c r="S31" s="40"/>
    </row>
    <row r="32" spans="1:19" s="41" customFormat="1" ht="13.8" hidden="1" x14ac:dyDescent="0.25">
      <c r="A32" s="43"/>
      <c r="B32" s="55" t="s">
        <v>30</v>
      </c>
      <c r="C32" s="260"/>
      <c r="D32" s="253"/>
      <c r="E32" s="253"/>
      <c r="F32" s="253"/>
      <c r="G32" s="261"/>
      <c r="H32" s="261"/>
      <c r="I32" s="575"/>
      <c r="J32" s="575"/>
      <c r="K32" s="575"/>
      <c r="L32" s="220"/>
      <c r="O32" s="43"/>
      <c r="S32" s="40"/>
    </row>
    <row r="33" spans="1:23" s="62" customFormat="1" ht="14.4" thickBot="1" x14ac:dyDescent="0.3">
      <c r="A33" s="60"/>
      <c r="B33" s="61" t="s">
        <v>184</v>
      </c>
      <c r="E33" s="52"/>
      <c r="F33" s="52"/>
      <c r="G33" s="63"/>
      <c r="H33" s="51"/>
      <c r="I33" s="63"/>
      <c r="J33" s="42"/>
      <c r="L33" s="64">
        <f>SUM(L31:L32)</f>
        <v>0</v>
      </c>
      <c r="M33" s="41"/>
      <c r="N33" s="41"/>
      <c r="O33" s="43"/>
      <c r="P33" s="41"/>
      <c r="Q33" s="41"/>
      <c r="R33" s="41"/>
      <c r="S33" s="40"/>
    </row>
    <row r="34" spans="1:23" s="41" customFormat="1" ht="8.25" customHeight="1" thickTop="1" x14ac:dyDescent="0.25">
      <c r="A34" s="65"/>
      <c r="B34" s="66"/>
      <c r="C34" s="66"/>
      <c r="D34" s="66"/>
      <c r="E34" s="66"/>
      <c r="F34" s="66"/>
      <c r="G34" s="66"/>
      <c r="H34" s="66"/>
      <c r="I34" s="66"/>
      <c r="J34" s="67"/>
      <c r="K34" s="67"/>
      <c r="L34" s="47"/>
      <c r="M34" s="47"/>
      <c r="O34" s="43"/>
      <c r="W34" s="40"/>
    </row>
    <row r="35" spans="1:23" s="41" customFormat="1" ht="3.75" customHeight="1" x14ac:dyDescent="0.25">
      <c r="A35" s="39"/>
      <c r="B35" s="68"/>
      <c r="C35" s="68"/>
      <c r="D35" s="68"/>
      <c r="E35" s="68"/>
      <c r="F35" s="68"/>
      <c r="G35" s="68"/>
      <c r="H35" s="68"/>
      <c r="I35" s="68"/>
      <c r="J35" s="69"/>
      <c r="K35" s="69"/>
      <c r="O35" s="43"/>
      <c r="W35" s="40"/>
    </row>
    <row r="36" spans="1:23" s="41" customFormat="1" ht="13.8" x14ac:dyDescent="0.25">
      <c r="A36" s="43"/>
      <c r="B36" s="6" t="s">
        <v>34</v>
      </c>
      <c r="C36" s="70"/>
      <c r="D36" s="70"/>
      <c r="E36" s="70"/>
      <c r="F36" s="70"/>
      <c r="G36" s="70"/>
      <c r="H36" s="70"/>
      <c r="I36" s="70"/>
      <c r="J36" s="89"/>
      <c r="K36" s="89"/>
      <c r="O36" s="43"/>
      <c r="W36" s="40"/>
    </row>
    <row r="37" spans="1:23" s="41" customFormat="1" ht="15" customHeight="1" x14ac:dyDescent="0.25">
      <c r="A37" s="43"/>
      <c r="B37" s="572"/>
      <c r="C37" s="572"/>
      <c r="D37" s="572"/>
      <c r="E37" s="572"/>
      <c r="F37" s="572"/>
      <c r="G37" s="572"/>
      <c r="H37" s="572"/>
      <c r="I37" s="572"/>
      <c r="J37" s="572"/>
      <c r="K37" s="572"/>
      <c r="L37" s="572"/>
      <c r="O37" s="43"/>
      <c r="W37" s="40"/>
    </row>
    <row r="38" spans="1:23" ht="13.8" x14ac:dyDescent="0.25">
      <c r="B38" s="572"/>
      <c r="C38" s="572"/>
      <c r="D38" s="572"/>
      <c r="E38" s="572"/>
      <c r="F38" s="572"/>
      <c r="G38" s="572"/>
      <c r="H38" s="572"/>
      <c r="I38" s="572"/>
      <c r="J38" s="572"/>
      <c r="K38" s="572"/>
      <c r="L38" s="572"/>
      <c r="M38" s="41"/>
      <c r="N38" s="41"/>
      <c r="O38" s="43"/>
      <c r="P38" s="41"/>
      <c r="Q38" s="41"/>
      <c r="R38" s="41"/>
      <c r="S38" s="40"/>
    </row>
    <row r="39" spans="1:23" s="41" customFormat="1" ht="14.4" thickBot="1" x14ac:dyDescent="0.3">
      <c r="A39" s="77"/>
      <c r="B39" s="78"/>
      <c r="C39" s="78"/>
      <c r="D39" s="78"/>
      <c r="E39" s="78"/>
      <c r="F39" s="78"/>
      <c r="G39" s="78"/>
      <c r="H39" s="78"/>
      <c r="I39" s="78"/>
      <c r="J39" s="79"/>
      <c r="K39" s="79"/>
      <c r="L39" s="80"/>
      <c r="M39" s="80"/>
      <c r="O39" s="43"/>
      <c r="W39" s="40"/>
    </row>
    <row r="40" spans="1:23" s="41" customFormat="1" ht="6.75" customHeight="1" x14ac:dyDescent="0.25">
      <c r="A40" s="39"/>
      <c r="B40" s="68"/>
      <c r="C40" s="68"/>
      <c r="D40" s="68"/>
      <c r="E40" s="68"/>
      <c r="F40" s="68"/>
      <c r="G40" s="68"/>
      <c r="H40" s="68"/>
      <c r="I40" s="68"/>
      <c r="J40" s="69"/>
      <c r="K40" s="69"/>
      <c r="O40" s="43"/>
      <c r="W40" s="40"/>
    </row>
    <row r="41" spans="1:23" ht="13.8" x14ac:dyDescent="0.25">
      <c r="B41" s="48"/>
      <c r="L41" s="41"/>
      <c r="M41" s="41"/>
      <c r="N41" s="41"/>
      <c r="O41" s="43"/>
      <c r="P41" s="41"/>
      <c r="Q41" s="41"/>
      <c r="R41" s="41"/>
      <c r="S41" s="59"/>
    </row>
    <row r="42" spans="1:23" ht="11.25" customHeight="1" x14ac:dyDescent="0.25">
      <c r="B42" s="48"/>
      <c r="L42" s="41"/>
      <c r="M42" s="41"/>
      <c r="N42" s="41"/>
      <c r="O42" s="43"/>
      <c r="P42" s="41"/>
      <c r="Q42" s="41"/>
      <c r="R42" s="41"/>
      <c r="S42" s="59"/>
    </row>
    <row r="43" spans="1:23" ht="13.8" x14ac:dyDescent="0.25">
      <c r="L43" s="41"/>
      <c r="M43" s="41"/>
      <c r="N43" s="41"/>
      <c r="O43" s="43"/>
      <c r="P43" s="41"/>
      <c r="Q43" s="41"/>
      <c r="R43" s="41"/>
      <c r="S43" s="40"/>
    </row>
    <row r="44" spans="1:23" ht="13.8" x14ac:dyDescent="0.25">
      <c r="L44" s="41"/>
      <c r="M44" s="41"/>
      <c r="N44" s="41"/>
      <c r="O44" s="43"/>
      <c r="P44" s="41"/>
      <c r="Q44" s="41"/>
      <c r="R44" s="41"/>
      <c r="S44" s="40"/>
    </row>
    <row r="45" spans="1:23" ht="13.8" x14ac:dyDescent="0.25">
      <c r="O45" s="41"/>
      <c r="P45" s="41"/>
      <c r="Q45" s="41"/>
      <c r="R45" s="41"/>
      <c r="S45" s="40"/>
    </row>
    <row r="46" spans="1:23" ht="13.8" x14ac:dyDescent="0.25">
      <c r="O46" s="41"/>
      <c r="P46" s="41"/>
      <c r="Q46" s="41"/>
      <c r="R46" s="41"/>
      <c r="S46" s="40"/>
    </row>
    <row r="47" spans="1:23" ht="13.8" x14ac:dyDescent="0.25">
      <c r="O47" s="41"/>
      <c r="P47" s="41"/>
      <c r="Q47" s="41"/>
      <c r="R47" s="41"/>
      <c r="S47" s="40"/>
    </row>
    <row r="48" spans="1:23" ht="15.6" x14ac:dyDescent="0.3">
      <c r="O48" s="71"/>
      <c r="P48" s="71"/>
      <c r="Q48" s="71"/>
      <c r="R48" s="71"/>
      <c r="S48" s="72"/>
    </row>
    <row r="49" spans="15:19" ht="15.6" x14ac:dyDescent="0.3">
      <c r="O49" s="71"/>
      <c r="P49" s="71"/>
      <c r="Q49" s="71"/>
      <c r="R49" s="71"/>
      <c r="S49" s="72"/>
    </row>
    <row r="50" spans="15:19" ht="15.6" x14ac:dyDescent="0.3">
      <c r="O50" s="71"/>
      <c r="P50" s="71"/>
      <c r="Q50" s="71"/>
      <c r="R50" s="71"/>
      <c r="S50" s="72"/>
    </row>
    <row r="51" spans="15:19" ht="15.6" x14ac:dyDescent="0.3">
      <c r="O51" s="71"/>
      <c r="P51" s="71"/>
      <c r="Q51" s="71"/>
      <c r="R51" s="71"/>
      <c r="S51" s="72"/>
    </row>
  </sheetData>
  <mergeCells count="4">
    <mergeCell ref="B37:L38"/>
    <mergeCell ref="I31:K31"/>
    <mergeCell ref="I32:K32"/>
    <mergeCell ref="B23:L27"/>
  </mergeCells>
  <dataValidations count="3">
    <dataValidation type="list" allowBlank="1" showInputMessage="1" showErrorMessage="1" sqref="G31:G32">
      <formula1>$O$17:$O$19</formula1>
    </dataValidation>
    <dataValidation allowBlank="1" showErrorMessage="1" promptTitle="Do not change" sqref="B30"/>
    <dataValidation type="list" allowBlank="1" showInputMessage="1" showErrorMessage="1" sqref="I31:K32">
      <formula1>$O$3:$O$21</formula1>
    </dataValidation>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52"/>
  <sheetViews>
    <sheetView view="pageBreakPreview" topLeftCell="A4"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179</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1577999</v>
      </c>
      <c r="F5" s="18">
        <v>1354061</v>
      </c>
      <c r="G5" s="18">
        <v>1278215</v>
      </c>
      <c r="I5" s="86" t="s">
        <v>38</v>
      </c>
      <c r="J5" s="73"/>
      <c r="K5" s="73"/>
      <c r="L5" s="73">
        <v>0</v>
      </c>
      <c r="O5" s="15" t="s">
        <v>4</v>
      </c>
      <c r="S5" s="10">
        <f t="shared" si="0"/>
        <v>0</v>
      </c>
    </row>
    <row r="6" spans="1:19" x14ac:dyDescent="0.25">
      <c r="B6" s="16" t="s">
        <v>7</v>
      </c>
      <c r="C6" s="17"/>
      <c r="D6" s="12"/>
      <c r="E6" s="18">
        <v>1577999</v>
      </c>
      <c r="F6" s="18">
        <v>1354061</v>
      </c>
      <c r="G6" s="18">
        <f>+G5</f>
        <v>1278215</v>
      </c>
      <c r="I6" s="87" t="s">
        <v>39</v>
      </c>
      <c r="J6" s="18">
        <v>113000</v>
      </c>
      <c r="K6" s="18">
        <v>0</v>
      </c>
      <c r="L6" s="18">
        <v>0</v>
      </c>
      <c r="O6" s="15" t="s">
        <v>6</v>
      </c>
      <c r="S6" s="10">
        <f t="shared" si="0"/>
        <v>0</v>
      </c>
    </row>
    <row r="7" spans="1:19" x14ac:dyDescent="0.25">
      <c r="B7" s="21" t="s">
        <v>9</v>
      </c>
      <c r="C7" s="22"/>
      <c r="D7" s="23"/>
      <c r="E7" s="24">
        <v>1355389</v>
      </c>
      <c r="F7" s="24">
        <v>1107178</v>
      </c>
      <c r="G7" s="24">
        <f>G6-L6</f>
        <v>1278215</v>
      </c>
      <c r="I7" s="87" t="s">
        <v>40</v>
      </c>
      <c r="J7" s="18">
        <v>139000</v>
      </c>
      <c r="K7" s="18">
        <v>0</v>
      </c>
      <c r="L7" s="18">
        <f>+L34</f>
        <v>113000</v>
      </c>
      <c r="O7" s="15" t="s">
        <v>8</v>
      </c>
      <c r="P7" s="20"/>
      <c r="S7" s="10">
        <f t="shared" si="0"/>
        <v>0</v>
      </c>
    </row>
    <row r="8" spans="1:19" x14ac:dyDescent="0.25">
      <c r="B8" s="26" t="s">
        <v>11</v>
      </c>
      <c r="C8" s="27"/>
      <c r="D8" s="28"/>
      <c r="E8" s="29">
        <v>222610</v>
      </c>
      <c r="F8" s="29">
        <v>246883</v>
      </c>
      <c r="G8" s="29">
        <f>G6-G7</f>
        <v>0</v>
      </c>
      <c r="I8" s="88" t="s">
        <v>43</v>
      </c>
      <c r="J8" s="74">
        <f>E8</f>
        <v>222610</v>
      </c>
      <c r="K8" s="74">
        <f>F8</f>
        <v>246883</v>
      </c>
      <c r="L8" s="74"/>
      <c r="O8" s="15" t="s">
        <v>10</v>
      </c>
      <c r="P8" s="25"/>
      <c r="S8" s="10">
        <f t="shared" si="0"/>
        <v>0</v>
      </c>
    </row>
    <row r="9" spans="1:19" x14ac:dyDescent="0.25">
      <c r="B9" s="32" t="s">
        <v>37</v>
      </c>
      <c r="C9" s="33"/>
      <c r="D9" s="23"/>
      <c r="E9" s="34">
        <f>IF(ISERROR(IF(E8=0,"",(E8/$E$5))),"",(IF(E8=0,"",(E8/$E$5))))</f>
        <v>0.14107106531753189</v>
      </c>
      <c r="F9" s="34">
        <f>IF(ISERROR(IF(F8=0,"",(F8/$F$5))),"",(IF(F8=0,"",(F8/$F$5))))</f>
        <v>0.18232782718060708</v>
      </c>
      <c r="G9" s="34" t="str">
        <f>IF(ISERROR(IF(G8=0,"",(G8/$G$5))),"",(IF(G8=0,"",(G8/$G$5))))</f>
        <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113000</v>
      </c>
    </row>
    <row r="16" spans="1:19" x14ac:dyDescent="0.25">
      <c r="O16" s="15" t="s">
        <v>19</v>
      </c>
      <c r="P16" s="36"/>
      <c r="Q16" s="36"/>
      <c r="S16" s="10">
        <f t="shared" si="0"/>
        <v>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113000</v>
      </c>
    </row>
    <row r="23" spans="1:19" s="41" customFormat="1" ht="15" customHeight="1" x14ac:dyDescent="0.25">
      <c r="A23" s="39"/>
      <c r="B23" s="571" t="s">
        <v>421</v>
      </c>
      <c r="C23" s="571"/>
      <c r="D23" s="571"/>
      <c r="E23" s="571"/>
      <c r="F23" s="571"/>
      <c r="G23" s="571"/>
      <c r="H23" s="571"/>
      <c r="I23" s="571"/>
      <c r="J23" s="571"/>
      <c r="K23" s="571"/>
      <c r="L23" s="571"/>
      <c r="O23" s="15"/>
      <c r="P23" s="12"/>
      <c r="Q23" s="12"/>
      <c r="R23" s="12"/>
      <c r="S23" s="10"/>
    </row>
    <row r="24" spans="1:19" s="41" customFormat="1" ht="15" customHeight="1" x14ac:dyDescent="0.25">
      <c r="A24" s="39"/>
      <c r="B24" s="571"/>
      <c r="C24" s="571"/>
      <c r="D24" s="571"/>
      <c r="E24" s="571"/>
      <c r="F24" s="571"/>
      <c r="G24" s="571"/>
      <c r="H24" s="571"/>
      <c r="I24" s="571"/>
      <c r="J24" s="571"/>
      <c r="K24" s="571"/>
      <c r="L24" s="571"/>
      <c r="O24" s="15"/>
      <c r="P24" s="12"/>
      <c r="Q24" s="12"/>
      <c r="R24" s="12"/>
      <c r="S24" s="10"/>
    </row>
    <row r="25" spans="1:19" s="41" customFormat="1" ht="15" customHeight="1" x14ac:dyDescent="0.25">
      <c r="A25" s="39"/>
      <c r="B25" s="571"/>
      <c r="C25" s="571"/>
      <c r="D25" s="571"/>
      <c r="E25" s="571"/>
      <c r="F25" s="571"/>
      <c r="G25" s="571"/>
      <c r="H25" s="571"/>
      <c r="I25" s="571"/>
      <c r="J25" s="571"/>
      <c r="K25" s="571"/>
      <c r="L25" s="571"/>
      <c r="O25" s="15"/>
      <c r="P25" s="12"/>
      <c r="Q25" s="12"/>
      <c r="R25" s="12"/>
      <c r="S25" s="10"/>
    </row>
    <row r="26" spans="1:19" s="41" customFormat="1" ht="15" customHeight="1"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5.25" customHeight="1" x14ac:dyDescent="0.25">
      <c r="A28" s="44"/>
      <c r="B28" s="44"/>
      <c r="C28" s="44"/>
      <c r="D28" s="44"/>
      <c r="E28" s="44"/>
      <c r="F28" s="44"/>
      <c r="G28" s="44"/>
      <c r="H28" s="45"/>
      <c r="I28" s="45"/>
      <c r="J28" s="46"/>
      <c r="K28" s="47"/>
      <c r="L28" s="47"/>
      <c r="M28" s="47"/>
      <c r="O28" s="15"/>
      <c r="P28" s="12"/>
      <c r="Q28" s="12"/>
      <c r="R28" s="12"/>
      <c r="S28" s="37"/>
    </row>
    <row r="29" spans="1:19" s="41" customFormat="1" ht="13.8" x14ac:dyDescent="0.25">
      <c r="A29" s="43"/>
      <c r="B29" s="48" t="s">
        <v>26</v>
      </c>
      <c r="D29" s="42"/>
      <c r="E29" s="42"/>
      <c r="F29" s="42"/>
      <c r="G29" s="42"/>
      <c r="H29" s="49"/>
      <c r="I29" s="50"/>
      <c r="J29" s="51"/>
      <c r="K29" s="51"/>
      <c r="O29" s="15"/>
      <c r="P29" s="12"/>
      <c r="Q29" s="12"/>
      <c r="R29" s="12"/>
      <c r="S29" s="37"/>
    </row>
    <row r="30" spans="1:19" s="41" customFormat="1" ht="13.8" x14ac:dyDescent="0.25">
      <c r="A30" s="43"/>
      <c r="B30" s="52"/>
      <c r="D30" s="42"/>
      <c r="E30" s="42"/>
      <c r="F30" s="42"/>
      <c r="G30" s="42"/>
      <c r="H30" s="53"/>
      <c r="I30" s="53" t="s">
        <v>27</v>
      </c>
      <c r="J30" s="42"/>
      <c r="L30" s="54" t="s">
        <v>28</v>
      </c>
      <c r="O30" s="15"/>
      <c r="P30" s="12"/>
      <c r="Q30" s="12"/>
      <c r="R30" s="12"/>
      <c r="S30" s="37"/>
    </row>
    <row r="31" spans="1:19" s="41" customFormat="1" ht="13.8" x14ac:dyDescent="0.25">
      <c r="A31" s="43"/>
      <c r="B31" s="55" t="s">
        <v>29</v>
      </c>
      <c r="C31" s="333" t="s">
        <v>420</v>
      </c>
      <c r="D31" s="253"/>
      <c r="E31" s="253"/>
      <c r="F31" s="253"/>
      <c r="G31" s="261"/>
      <c r="H31" s="261"/>
      <c r="I31" s="575" t="s">
        <v>18</v>
      </c>
      <c r="J31" s="575"/>
      <c r="K31" s="575"/>
      <c r="L31" s="219">
        <v>113000</v>
      </c>
      <c r="M31" s="331"/>
      <c r="O31" s="43"/>
      <c r="S31" s="40"/>
    </row>
    <row r="32" spans="1:19" s="41" customFormat="1" ht="13.8" hidden="1" x14ac:dyDescent="0.25">
      <c r="A32" s="43"/>
      <c r="B32" s="55" t="s">
        <v>30</v>
      </c>
      <c r="C32" s="264"/>
      <c r="D32" s="253"/>
      <c r="E32" s="253"/>
      <c r="F32" s="253"/>
      <c r="G32" s="261"/>
      <c r="H32" s="261"/>
      <c r="I32" s="575"/>
      <c r="J32" s="575"/>
      <c r="K32" s="575"/>
      <c r="L32" s="220"/>
      <c r="O32" s="43"/>
      <c r="S32" s="40"/>
    </row>
    <row r="33" spans="1:23" s="41" customFormat="1" ht="13.8" hidden="1" x14ac:dyDescent="0.25">
      <c r="A33" s="43"/>
      <c r="B33" s="55" t="s">
        <v>31</v>
      </c>
      <c r="C33" s="260"/>
      <c r="D33" s="253"/>
      <c r="E33" s="253"/>
      <c r="F33" s="253"/>
      <c r="G33" s="261"/>
      <c r="H33" s="261"/>
      <c r="I33" s="575"/>
      <c r="J33" s="575"/>
      <c r="K33" s="575"/>
      <c r="L33" s="220"/>
      <c r="O33" s="43"/>
      <c r="S33" s="40"/>
    </row>
    <row r="34" spans="1:23" s="62" customFormat="1" ht="14.4" thickBot="1" x14ac:dyDescent="0.3">
      <c r="A34" s="60"/>
      <c r="B34" s="61" t="s">
        <v>184</v>
      </c>
      <c r="E34" s="52"/>
      <c r="F34" s="52"/>
      <c r="G34" s="63"/>
      <c r="H34" s="51"/>
      <c r="I34" s="63"/>
      <c r="J34" s="42"/>
      <c r="L34" s="64">
        <f>SUM(L31:L33)</f>
        <v>113000</v>
      </c>
      <c r="M34" s="41"/>
      <c r="N34" s="41"/>
      <c r="O34" s="43"/>
      <c r="P34" s="41"/>
      <c r="Q34" s="41"/>
      <c r="R34" s="41"/>
      <c r="S34" s="40"/>
    </row>
    <row r="35" spans="1:23" s="41" customFormat="1" ht="8.25" customHeight="1" thickTop="1" x14ac:dyDescent="0.25">
      <c r="A35" s="65"/>
      <c r="B35" s="66"/>
      <c r="C35" s="66"/>
      <c r="D35" s="66"/>
      <c r="E35" s="66"/>
      <c r="F35" s="66"/>
      <c r="G35" s="66"/>
      <c r="H35" s="66"/>
      <c r="I35" s="66"/>
      <c r="J35" s="67"/>
      <c r="K35" s="67"/>
      <c r="L35" s="47"/>
      <c r="M35" s="47"/>
      <c r="O35" s="43"/>
      <c r="W35" s="40"/>
    </row>
    <row r="36" spans="1:23" s="41" customFormat="1" ht="3.75" customHeight="1" x14ac:dyDescent="0.25">
      <c r="A36" s="39"/>
      <c r="B36" s="68"/>
      <c r="C36" s="68"/>
      <c r="D36" s="68"/>
      <c r="E36" s="68"/>
      <c r="F36" s="68"/>
      <c r="G36" s="68"/>
      <c r="H36" s="68"/>
      <c r="I36" s="68"/>
      <c r="J36" s="69"/>
      <c r="K36" s="69"/>
      <c r="O36" s="43"/>
      <c r="W36" s="40"/>
    </row>
    <row r="37" spans="1:23" s="41" customFormat="1" ht="13.8" x14ac:dyDescent="0.25">
      <c r="A37" s="43"/>
      <c r="B37" s="6" t="s">
        <v>34</v>
      </c>
      <c r="C37" s="70"/>
      <c r="D37" s="70"/>
      <c r="E37" s="70"/>
      <c r="F37" s="70"/>
      <c r="G37" s="70"/>
      <c r="H37" s="70"/>
      <c r="I37" s="70"/>
      <c r="J37" s="89"/>
      <c r="K37" s="89"/>
      <c r="O37" s="43"/>
      <c r="W37" s="40"/>
    </row>
    <row r="38" spans="1:23" s="41" customFormat="1" ht="15" customHeight="1" x14ac:dyDescent="0.25">
      <c r="A38" s="43"/>
      <c r="B38" s="572"/>
      <c r="C38" s="572"/>
      <c r="D38" s="572"/>
      <c r="E38" s="572"/>
      <c r="F38" s="572"/>
      <c r="G38" s="572"/>
      <c r="H38" s="572"/>
      <c r="I38" s="572"/>
      <c r="J38" s="572"/>
      <c r="K38" s="572"/>
      <c r="L38" s="572"/>
      <c r="O38" s="43"/>
      <c r="W38" s="40"/>
    </row>
    <row r="39" spans="1:23" ht="13.8" x14ac:dyDescent="0.25">
      <c r="B39" s="572"/>
      <c r="C39" s="572"/>
      <c r="D39" s="572"/>
      <c r="E39" s="572"/>
      <c r="F39" s="572"/>
      <c r="G39" s="572"/>
      <c r="H39" s="572"/>
      <c r="I39" s="572"/>
      <c r="J39" s="572"/>
      <c r="K39" s="572"/>
      <c r="L39" s="572"/>
      <c r="M39" s="41"/>
      <c r="N39" s="41"/>
      <c r="O39" s="43"/>
      <c r="P39" s="41"/>
      <c r="Q39" s="41"/>
      <c r="R39" s="41"/>
      <c r="S39" s="40"/>
    </row>
    <row r="40" spans="1:23" s="41" customFormat="1" ht="8.25" customHeight="1" thickBot="1" x14ac:dyDescent="0.3">
      <c r="A40" s="77"/>
      <c r="B40" s="78"/>
      <c r="C40" s="78"/>
      <c r="D40" s="78"/>
      <c r="E40" s="78"/>
      <c r="F40" s="78"/>
      <c r="G40" s="78"/>
      <c r="H40" s="78"/>
      <c r="I40" s="78"/>
      <c r="J40" s="79"/>
      <c r="K40" s="79"/>
      <c r="L40" s="80"/>
      <c r="M40" s="80"/>
      <c r="O40" s="43"/>
      <c r="W40" s="40"/>
    </row>
    <row r="41" spans="1:23" s="41" customFormat="1" ht="6.75" customHeight="1" x14ac:dyDescent="0.25">
      <c r="A41" s="39"/>
      <c r="B41" s="68"/>
      <c r="C41" s="68"/>
      <c r="D41" s="68"/>
      <c r="E41" s="68"/>
      <c r="F41" s="68"/>
      <c r="G41" s="68"/>
      <c r="H41" s="68"/>
      <c r="I41" s="68"/>
      <c r="J41" s="69"/>
      <c r="K41" s="69"/>
      <c r="O41" s="43"/>
      <c r="W41" s="40"/>
    </row>
    <row r="42" spans="1:23" ht="13.8" x14ac:dyDescent="0.25">
      <c r="B42" s="48"/>
      <c r="L42" s="41"/>
      <c r="M42" s="41"/>
      <c r="N42" s="41"/>
      <c r="O42" s="43"/>
      <c r="P42" s="41"/>
      <c r="Q42" s="41"/>
      <c r="R42" s="41"/>
      <c r="S42" s="59"/>
    </row>
    <row r="43" spans="1:23" ht="11.25" customHeight="1" x14ac:dyDescent="0.25">
      <c r="B43" s="48"/>
      <c r="L43" s="41"/>
      <c r="M43" s="41"/>
      <c r="N43" s="41"/>
      <c r="O43" s="43"/>
      <c r="P43" s="41"/>
      <c r="Q43" s="41"/>
      <c r="R43" s="41"/>
      <c r="S43" s="59"/>
    </row>
    <row r="44" spans="1:23" ht="13.8" x14ac:dyDescent="0.25">
      <c r="L44" s="41"/>
      <c r="M44" s="41"/>
      <c r="N44" s="41"/>
      <c r="O44" s="43"/>
      <c r="P44" s="41"/>
      <c r="Q44" s="41"/>
      <c r="R44" s="41"/>
      <c r="S44" s="40"/>
    </row>
    <row r="45" spans="1:23" ht="13.8" x14ac:dyDescent="0.25">
      <c r="L45" s="41"/>
      <c r="M45" s="41"/>
      <c r="N45" s="41"/>
      <c r="O45" s="43"/>
      <c r="P45" s="41"/>
      <c r="Q45" s="41"/>
      <c r="R45" s="41"/>
      <c r="S45" s="40"/>
    </row>
    <row r="46" spans="1:23" ht="13.8" x14ac:dyDescent="0.25">
      <c r="O46" s="41"/>
      <c r="P46" s="41"/>
      <c r="Q46" s="41"/>
      <c r="R46" s="41"/>
      <c r="S46" s="40"/>
    </row>
    <row r="47" spans="1:23" ht="13.8" x14ac:dyDescent="0.25">
      <c r="O47" s="41"/>
      <c r="P47" s="41"/>
      <c r="Q47" s="41"/>
      <c r="R47" s="41"/>
      <c r="S47" s="40"/>
    </row>
    <row r="48" spans="1:23" ht="13.8" x14ac:dyDescent="0.25">
      <c r="O48" s="41"/>
      <c r="P48" s="41"/>
      <c r="Q48" s="41"/>
      <c r="R48" s="41"/>
      <c r="S48" s="40"/>
    </row>
    <row r="49" spans="15:19" ht="15.6" x14ac:dyDescent="0.3">
      <c r="O49" s="71"/>
      <c r="P49" s="71"/>
      <c r="Q49" s="71"/>
      <c r="R49" s="71"/>
      <c r="S49" s="72"/>
    </row>
    <row r="50" spans="15:19" ht="15.6" x14ac:dyDescent="0.3">
      <c r="O50" s="71"/>
      <c r="P50" s="71"/>
      <c r="Q50" s="71"/>
      <c r="R50" s="71"/>
      <c r="S50" s="72"/>
    </row>
    <row r="51" spans="15:19" ht="15.6" x14ac:dyDescent="0.3">
      <c r="O51" s="71"/>
      <c r="P51" s="71"/>
      <c r="Q51" s="71"/>
      <c r="R51" s="71"/>
      <c r="S51" s="72"/>
    </row>
    <row r="52" spans="15:19" ht="15.6" x14ac:dyDescent="0.3">
      <c r="O52" s="71"/>
      <c r="P52" s="71"/>
      <c r="Q52" s="71"/>
      <c r="R52" s="71"/>
      <c r="S52" s="72"/>
    </row>
  </sheetData>
  <mergeCells count="5">
    <mergeCell ref="I33:K33"/>
    <mergeCell ref="B38:L39"/>
    <mergeCell ref="I31:K31"/>
    <mergeCell ref="I32:K32"/>
    <mergeCell ref="B23:L27"/>
  </mergeCells>
  <dataValidations count="3">
    <dataValidation type="list" allowBlank="1" showInputMessage="1" showErrorMessage="1" sqref="I31:K33">
      <formula1>$O$3:$O$21</formula1>
    </dataValidation>
    <dataValidation allowBlank="1" showErrorMessage="1" promptTitle="Do not change" sqref="B30"/>
    <dataValidation type="list" allowBlank="1" showInputMessage="1" showErrorMessage="1" sqref="G31:G33">
      <formula1>$O$17:$O$19</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124"/>
  <sheetViews>
    <sheetView zoomScaleNormal="100" workbookViewId="0">
      <selection activeCell="B23" sqref="B23:L83"/>
    </sheetView>
  </sheetViews>
  <sheetFormatPr defaultColWidth="9.109375" defaultRowHeight="13.2" x14ac:dyDescent="0.25"/>
  <cols>
    <col min="1" max="1" width="0.88671875" style="83" customWidth="1"/>
    <col min="2" max="2" width="2.8867187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1" width="12.109375" style="83" customWidth="1"/>
    <col min="12" max="12" width="13.5546875" style="83" bestFit="1"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3.6640625" style="37" customWidth="1"/>
    <col min="20" max="22" width="9.109375" style="83"/>
    <col min="23" max="23" width="9.44140625" style="83" bestFit="1" customWidth="1"/>
    <col min="24" max="16384" width="9.109375" style="83"/>
  </cols>
  <sheetData>
    <row r="1" spans="1:19" ht="15.6" x14ac:dyDescent="0.25">
      <c r="A1" s="1" t="s">
        <v>162</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10460211</v>
      </c>
      <c r="F5" s="18">
        <v>10470778</v>
      </c>
      <c r="G5" s="256">
        <v>16491109.390000001</v>
      </c>
      <c r="I5" s="86" t="s">
        <v>38</v>
      </c>
      <c r="J5" s="73"/>
      <c r="K5" s="73"/>
      <c r="L5" s="73">
        <f>-280000-639000</f>
        <v>-919000</v>
      </c>
      <c r="O5" s="15" t="s">
        <v>4</v>
      </c>
      <c r="S5" s="10">
        <f t="shared" si="0"/>
        <v>0</v>
      </c>
    </row>
    <row r="6" spans="1:19" x14ac:dyDescent="0.25">
      <c r="B6" s="16" t="s">
        <v>7</v>
      </c>
      <c r="C6" s="17"/>
      <c r="D6" s="12"/>
      <c r="E6" s="18">
        <v>7165836</v>
      </c>
      <c r="F6" s="18">
        <v>6832655</v>
      </c>
      <c r="G6" s="256">
        <f>+G5-11161968</f>
        <v>5329141.3900000006</v>
      </c>
      <c r="I6" s="87" t="s">
        <v>39</v>
      </c>
      <c r="J6" s="18">
        <v>-300000</v>
      </c>
      <c r="K6" s="18">
        <v>0</v>
      </c>
      <c r="L6" s="18">
        <v>-946000</v>
      </c>
      <c r="O6" s="15" t="s">
        <v>6</v>
      </c>
      <c r="S6" s="10">
        <f t="shared" si="0"/>
        <v>-60000</v>
      </c>
    </row>
    <row r="7" spans="1:19" x14ac:dyDescent="0.25">
      <c r="B7" s="21" t="s">
        <v>9</v>
      </c>
      <c r="C7" s="22"/>
      <c r="D7" s="23"/>
      <c r="E7" s="24">
        <v>7645241</v>
      </c>
      <c r="F7" s="24">
        <v>6811947</v>
      </c>
      <c r="G7" s="257">
        <f>G6-L6</f>
        <v>6275141.3900000006</v>
      </c>
      <c r="I7" s="87" t="s">
        <v>40</v>
      </c>
      <c r="J7" s="18">
        <v>-619000</v>
      </c>
      <c r="K7" s="18">
        <v>0</v>
      </c>
      <c r="L7" s="18">
        <f>+L106</f>
        <v>-1243000</v>
      </c>
      <c r="O7" s="15" t="s">
        <v>8</v>
      </c>
      <c r="P7" s="20"/>
      <c r="S7" s="10">
        <f t="shared" si="0"/>
        <v>0</v>
      </c>
    </row>
    <row r="8" spans="1:19" x14ac:dyDescent="0.25">
      <c r="B8" s="26" t="s">
        <v>11</v>
      </c>
      <c r="C8" s="27"/>
      <c r="D8" s="28"/>
      <c r="E8" s="29">
        <v>-479405</v>
      </c>
      <c r="F8" s="29">
        <v>20708</v>
      </c>
      <c r="G8" s="29">
        <f>G6-G7</f>
        <v>-946000</v>
      </c>
      <c r="I8" s="88" t="s">
        <v>43</v>
      </c>
      <c r="J8" s="74">
        <f>E8</f>
        <v>-479405</v>
      </c>
      <c r="K8" s="74">
        <f>F8</f>
        <v>20708</v>
      </c>
      <c r="L8" s="74"/>
      <c r="O8" s="15" t="s">
        <v>10</v>
      </c>
      <c r="P8" s="25"/>
      <c r="S8" s="10">
        <f t="shared" si="0"/>
        <v>0</v>
      </c>
    </row>
    <row r="9" spans="1:19" x14ac:dyDescent="0.25">
      <c r="B9" s="32" t="s">
        <v>37</v>
      </c>
      <c r="C9" s="33"/>
      <c r="D9" s="23"/>
      <c r="E9" s="34">
        <f>IF(ISERROR(IF(E8=0,"",(E8/$E$5))),"",(IF(E8=0,"",(E8/$E$5))))</f>
        <v>-4.5831293460523885E-2</v>
      </c>
      <c r="F9" s="34">
        <f>IF(ISERROR(IF(F8=0,"",(F8/$F$5))),"",(IF(F8=0,"",(F8/$F$5))))</f>
        <v>1.9776944941436061E-3</v>
      </c>
      <c r="G9" s="34">
        <f>IF(ISERROR(IF(G8=0,"",(G8/$G$5))),"",(IF(G8=0,"",(G8/$G$5))))</f>
        <v>-5.7364242612667551E-2</v>
      </c>
      <c r="I9" s="83" t="s">
        <v>42</v>
      </c>
      <c r="O9" s="15" t="s">
        <v>12</v>
      </c>
      <c r="P9" s="30"/>
      <c r="Q9" s="19"/>
      <c r="R9" s="31"/>
      <c r="S9" s="10">
        <f t="shared" si="0"/>
        <v>0</v>
      </c>
    </row>
    <row r="10" spans="1:19" x14ac:dyDescent="0.25">
      <c r="O10" s="15" t="s">
        <v>13</v>
      </c>
      <c r="P10" s="35"/>
      <c r="Q10" s="19"/>
      <c r="S10" s="10">
        <f t="shared" si="0"/>
        <v>-820000</v>
      </c>
    </row>
    <row r="11" spans="1:19" x14ac:dyDescent="0.25">
      <c r="O11" s="15" t="s">
        <v>14</v>
      </c>
      <c r="P11" s="36"/>
      <c r="Q11" s="36"/>
      <c r="S11" s="10">
        <f t="shared" si="0"/>
        <v>-114000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-223000</v>
      </c>
    </row>
    <row r="16" spans="1:19" x14ac:dyDescent="0.25">
      <c r="O16" s="15" t="s">
        <v>19</v>
      </c>
      <c r="P16" s="36"/>
      <c r="Q16" s="36"/>
      <c r="S16" s="10">
        <f t="shared" si="0"/>
        <v>214000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-240000</v>
      </c>
    </row>
    <row r="22" spans="1:19" s="41" customFormat="1" ht="15" customHeight="1" x14ac:dyDescent="0.25">
      <c r="A22" s="39"/>
      <c r="B22" s="6" t="s">
        <v>25</v>
      </c>
      <c r="C22" s="6"/>
      <c r="D22" s="6"/>
      <c r="E22" s="6"/>
      <c r="F22" s="6"/>
      <c r="G22" s="6"/>
      <c r="H22" s="40"/>
      <c r="I22" s="40"/>
      <c r="K22" s="42"/>
      <c r="O22" s="15"/>
      <c r="P22" s="12"/>
      <c r="Q22" s="12"/>
      <c r="R22" s="12"/>
      <c r="S22" s="10">
        <f>SUM(S3:S21)</f>
        <v>-1243000</v>
      </c>
    </row>
    <row r="23" spans="1:19" s="41" customFormat="1" ht="16.5" customHeight="1" x14ac:dyDescent="0.25">
      <c r="A23" s="39"/>
      <c r="B23" s="571" t="s">
        <v>418</v>
      </c>
      <c r="C23" s="571"/>
      <c r="D23" s="571"/>
      <c r="E23" s="571"/>
      <c r="F23" s="571"/>
      <c r="G23" s="571"/>
      <c r="H23" s="571"/>
      <c r="I23" s="571"/>
      <c r="J23" s="571"/>
      <c r="K23" s="571"/>
      <c r="L23" s="571"/>
      <c r="O23" s="15"/>
      <c r="P23" s="12"/>
      <c r="Q23" s="12"/>
      <c r="R23" s="12"/>
      <c r="S23" s="10"/>
    </row>
    <row r="24" spans="1:19" s="41" customFormat="1" ht="13.5" customHeight="1" x14ac:dyDescent="0.25">
      <c r="B24" s="571"/>
      <c r="C24" s="571"/>
      <c r="D24" s="571"/>
      <c r="E24" s="571"/>
      <c r="F24" s="571"/>
      <c r="G24" s="571"/>
      <c r="H24" s="571"/>
      <c r="I24" s="571"/>
      <c r="J24" s="571"/>
      <c r="K24" s="571"/>
      <c r="L24" s="571"/>
      <c r="O24" s="15"/>
      <c r="P24" s="12"/>
      <c r="Q24" s="12"/>
      <c r="R24" s="12"/>
      <c r="S24" s="10"/>
    </row>
    <row r="25" spans="1:19" s="41" customFormat="1" ht="15.75" customHeight="1" x14ac:dyDescent="0.25">
      <c r="A25" s="39"/>
      <c r="B25" s="571"/>
      <c r="C25" s="571"/>
      <c r="D25" s="571"/>
      <c r="E25" s="571"/>
      <c r="F25" s="571"/>
      <c r="G25" s="571"/>
      <c r="H25" s="571"/>
      <c r="I25" s="571"/>
      <c r="J25" s="571"/>
      <c r="K25" s="571"/>
      <c r="L25" s="571"/>
      <c r="O25" s="15"/>
      <c r="P25" s="12"/>
      <c r="Q25" s="12"/>
      <c r="R25" s="12"/>
      <c r="S25" s="10"/>
    </row>
    <row r="26" spans="1:19" s="41" customFormat="1" ht="15.75" customHeight="1"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5.75" customHeight="1" x14ac:dyDescent="0.25">
      <c r="A28" s="39"/>
      <c r="B28" s="571"/>
      <c r="C28" s="571"/>
      <c r="D28" s="571"/>
      <c r="E28" s="571"/>
      <c r="F28" s="571"/>
      <c r="G28" s="571"/>
      <c r="H28" s="571"/>
      <c r="I28" s="571"/>
      <c r="J28" s="571"/>
      <c r="K28" s="571"/>
      <c r="L28" s="571"/>
      <c r="O28" s="15"/>
      <c r="P28" s="12"/>
      <c r="Q28" s="12"/>
      <c r="R28" s="12"/>
      <c r="S28" s="10"/>
    </row>
    <row r="29" spans="1:19" s="41" customFormat="1" ht="15.75" customHeight="1" x14ac:dyDescent="0.25">
      <c r="A29" s="39"/>
      <c r="B29" s="571"/>
      <c r="C29" s="571"/>
      <c r="D29" s="571"/>
      <c r="E29" s="571"/>
      <c r="F29" s="571"/>
      <c r="G29" s="571"/>
      <c r="H29" s="571"/>
      <c r="I29" s="571"/>
      <c r="J29" s="571"/>
      <c r="K29" s="571"/>
      <c r="L29" s="571"/>
      <c r="O29" s="15"/>
      <c r="P29" s="12"/>
      <c r="Q29" s="12"/>
      <c r="R29" s="12"/>
      <c r="S29" s="10"/>
    </row>
    <row r="30" spans="1:19" s="41" customFormat="1" ht="15.75" customHeight="1" x14ac:dyDescent="0.25">
      <c r="A30" s="39"/>
      <c r="B30" s="571"/>
      <c r="C30" s="571"/>
      <c r="D30" s="571"/>
      <c r="E30" s="571"/>
      <c r="F30" s="571"/>
      <c r="G30" s="571"/>
      <c r="H30" s="571"/>
      <c r="I30" s="571"/>
      <c r="J30" s="571"/>
      <c r="K30" s="571"/>
      <c r="L30" s="571"/>
      <c r="O30" s="15"/>
      <c r="P30" s="12"/>
      <c r="Q30" s="12"/>
      <c r="R30" s="12"/>
      <c r="S30" s="10"/>
    </row>
    <row r="31" spans="1:19" s="41" customFormat="1" ht="15.75" customHeight="1" x14ac:dyDescent="0.25">
      <c r="A31" s="39"/>
      <c r="B31" s="571"/>
      <c r="C31" s="571"/>
      <c r="D31" s="571"/>
      <c r="E31" s="571"/>
      <c r="F31" s="571"/>
      <c r="G31" s="571"/>
      <c r="H31" s="571"/>
      <c r="I31" s="571"/>
      <c r="J31" s="571"/>
      <c r="K31" s="571"/>
      <c r="L31" s="571"/>
      <c r="O31" s="15"/>
      <c r="P31" s="12"/>
      <c r="Q31" s="12"/>
      <c r="R31" s="12"/>
      <c r="S31" s="10"/>
    </row>
    <row r="32" spans="1:19" s="41" customFormat="1" ht="15.75" customHeight="1" x14ac:dyDescent="0.25">
      <c r="A32" s="39"/>
      <c r="B32" s="571"/>
      <c r="C32" s="571"/>
      <c r="D32" s="571"/>
      <c r="E32" s="571"/>
      <c r="F32" s="571"/>
      <c r="G32" s="571"/>
      <c r="H32" s="571"/>
      <c r="I32" s="571"/>
      <c r="J32" s="571"/>
      <c r="K32" s="571"/>
      <c r="L32" s="571"/>
      <c r="O32" s="15"/>
      <c r="P32" s="12"/>
      <c r="Q32" s="12"/>
      <c r="R32" s="12"/>
      <c r="S32" s="10"/>
    </row>
    <row r="33" spans="1:19" s="41" customFormat="1" ht="15.75" customHeight="1" x14ac:dyDescent="0.25">
      <c r="A33" s="39"/>
      <c r="B33" s="571"/>
      <c r="C33" s="571"/>
      <c r="D33" s="571"/>
      <c r="E33" s="571"/>
      <c r="F33" s="571"/>
      <c r="G33" s="571"/>
      <c r="H33" s="571"/>
      <c r="I33" s="571"/>
      <c r="J33" s="571"/>
      <c r="K33" s="571"/>
      <c r="L33" s="571"/>
      <c r="O33" s="15"/>
      <c r="P33" s="12"/>
      <c r="Q33" s="12"/>
      <c r="R33" s="12"/>
      <c r="S33" s="10"/>
    </row>
    <row r="34" spans="1:19" s="41" customFormat="1" ht="15.75" customHeight="1" x14ac:dyDescent="0.25">
      <c r="A34" s="39"/>
      <c r="B34" s="571"/>
      <c r="C34" s="571"/>
      <c r="D34" s="571"/>
      <c r="E34" s="571"/>
      <c r="F34" s="571"/>
      <c r="G34" s="571"/>
      <c r="H34" s="571"/>
      <c r="I34" s="571"/>
      <c r="J34" s="571"/>
      <c r="K34" s="571"/>
      <c r="L34" s="571"/>
      <c r="O34" s="15"/>
      <c r="P34" s="12"/>
      <c r="Q34" s="12"/>
      <c r="R34" s="12"/>
      <c r="S34" s="10"/>
    </row>
    <row r="35" spans="1:19" s="41" customFormat="1" ht="15.75" customHeight="1" x14ac:dyDescent="0.25">
      <c r="A35" s="39"/>
      <c r="B35" s="571"/>
      <c r="C35" s="571"/>
      <c r="D35" s="571"/>
      <c r="E35" s="571"/>
      <c r="F35" s="571"/>
      <c r="G35" s="571"/>
      <c r="H35" s="571"/>
      <c r="I35" s="571"/>
      <c r="J35" s="571"/>
      <c r="K35" s="571"/>
      <c r="L35" s="571"/>
      <c r="O35" s="15"/>
      <c r="P35" s="12"/>
      <c r="Q35" s="12"/>
      <c r="R35" s="12"/>
      <c r="S35" s="10"/>
    </row>
    <row r="36" spans="1:19" s="41" customFormat="1" ht="15.75" customHeight="1" x14ac:dyDescent="0.25">
      <c r="A36" s="39"/>
      <c r="B36" s="571"/>
      <c r="C36" s="571"/>
      <c r="D36" s="571"/>
      <c r="E36" s="571"/>
      <c r="F36" s="571"/>
      <c r="G36" s="571"/>
      <c r="H36" s="571"/>
      <c r="I36" s="571"/>
      <c r="J36" s="571"/>
      <c r="K36" s="571"/>
      <c r="L36" s="571"/>
      <c r="O36" s="15"/>
      <c r="P36" s="12"/>
      <c r="Q36" s="12"/>
      <c r="R36" s="12"/>
      <c r="S36" s="10"/>
    </row>
    <row r="37" spans="1:19" s="41" customFormat="1" ht="15.75" customHeight="1" x14ac:dyDescent="0.25">
      <c r="A37" s="39"/>
      <c r="B37" s="571"/>
      <c r="C37" s="571"/>
      <c r="D37" s="571"/>
      <c r="E37" s="571"/>
      <c r="F37" s="571"/>
      <c r="G37" s="571"/>
      <c r="H37" s="571"/>
      <c r="I37" s="571"/>
      <c r="J37" s="571"/>
      <c r="K37" s="571"/>
      <c r="L37" s="571"/>
      <c r="O37" s="15"/>
      <c r="P37" s="12"/>
      <c r="Q37" s="12"/>
      <c r="R37" s="12"/>
      <c r="S37" s="10"/>
    </row>
    <row r="38" spans="1:19" s="41" customFormat="1" ht="15.75" customHeight="1" x14ac:dyDescent="0.25">
      <c r="A38" s="39"/>
      <c r="B38" s="571"/>
      <c r="C38" s="571"/>
      <c r="D38" s="571"/>
      <c r="E38" s="571"/>
      <c r="F38" s="571"/>
      <c r="G38" s="571"/>
      <c r="H38" s="571"/>
      <c r="I38" s="571"/>
      <c r="J38" s="571"/>
      <c r="K38" s="571"/>
      <c r="L38" s="571"/>
      <c r="O38" s="15"/>
      <c r="P38" s="12"/>
      <c r="Q38" s="12"/>
      <c r="R38" s="12"/>
      <c r="S38" s="10"/>
    </row>
    <row r="39" spans="1:19" s="41" customFormat="1" ht="15.75" customHeight="1" x14ac:dyDescent="0.25">
      <c r="A39" s="39"/>
      <c r="B39" s="571"/>
      <c r="C39" s="571"/>
      <c r="D39" s="571"/>
      <c r="E39" s="571"/>
      <c r="F39" s="571"/>
      <c r="G39" s="571"/>
      <c r="H39" s="571"/>
      <c r="I39" s="571"/>
      <c r="J39" s="571"/>
      <c r="K39" s="571"/>
      <c r="L39" s="571"/>
      <c r="O39" s="15"/>
      <c r="P39" s="12"/>
      <c r="Q39" s="12"/>
      <c r="R39" s="12"/>
      <c r="S39" s="10"/>
    </row>
    <row r="40" spans="1:19" s="41" customFormat="1" ht="15.75" customHeight="1" x14ac:dyDescent="0.25">
      <c r="A40" s="39"/>
      <c r="B40" s="571"/>
      <c r="C40" s="571"/>
      <c r="D40" s="571"/>
      <c r="E40" s="571"/>
      <c r="F40" s="571"/>
      <c r="G40" s="571"/>
      <c r="H40" s="571"/>
      <c r="I40" s="571"/>
      <c r="J40" s="571"/>
      <c r="K40" s="571"/>
      <c r="L40" s="571"/>
      <c r="O40" s="15"/>
      <c r="P40" s="12"/>
      <c r="Q40" s="12"/>
      <c r="R40" s="12"/>
      <c r="S40" s="10"/>
    </row>
    <row r="41" spans="1:19" s="41" customFormat="1" ht="15.75" customHeight="1" x14ac:dyDescent="0.25">
      <c r="A41" s="39"/>
      <c r="B41" s="571"/>
      <c r="C41" s="571"/>
      <c r="D41" s="571"/>
      <c r="E41" s="571"/>
      <c r="F41" s="571"/>
      <c r="G41" s="571"/>
      <c r="H41" s="571"/>
      <c r="I41" s="571"/>
      <c r="J41" s="571"/>
      <c r="K41" s="571"/>
      <c r="L41" s="571"/>
      <c r="O41" s="15"/>
      <c r="P41" s="12"/>
      <c r="Q41" s="12"/>
      <c r="R41" s="12"/>
      <c r="S41" s="10"/>
    </row>
    <row r="42" spans="1:19" s="41" customFormat="1" ht="15.75" customHeight="1" x14ac:dyDescent="0.25">
      <c r="A42" s="39"/>
      <c r="B42" s="571"/>
      <c r="C42" s="571"/>
      <c r="D42" s="571"/>
      <c r="E42" s="571"/>
      <c r="F42" s="571"/>
      <c r="G42" s="571"/>
      <c r="H42" s="571"/>
      <c r="I42" s="571"/>
      <c r="J42" s="571"/>
      <c r="K42" s="571"/>
      <c r="L42" s="571"/>
      <c r="O42" s="15"/>
      <c r="P42" s="12"/>
      <c r="Q42" s="12"/>
      <c r="R42" s="12"/>
      <c r="S42" s="10"/>
    </row>
    <row r="43" spans="1:19" s="41" customFormat="1" ht="15.75" customHeight="1" x14ac:dyDescent="0.25">
      <c r="A43" s="39"/>
      <c r="B43" s="571"/>
      <c r="C43" s="571"/>
      <c r="D43" s="571"/>
      <c r="E43" s="571"/>
      <c r="F43" s="571"/>
      <c r="G43" s="571"/>
      <c r="H43" s="571"/>
      <c r="I43" s="571"/>
      <c r="J43" s="571"/>
      <c r="K43" s="571"/>
      <c r="L43" s="571"/>
      <c r="O43" s="15"/>
      <c r="P43" s="12"/>
      <c r="Q43" s="12"/>
      <c r="R43" s="12"/>
      <c r="S43" s="10"/>
    </row>
    <row r="44" spans="1:19" s="41" customFormat="1" ht="15.75" customHeight="1" x14ac:dyDescent="0.25">
      <c r="A44" s="39"/>
      <c r="B44" s="571"/>
      <c r="C44" s="571"/>
      <c r="D44" s="571"/>
      <c r="E44" s="571"/>
      <c r="F44" s="571"/>
      <c r="G44" s="571"/>
      <c r="H44" s="571"/>
      <c r="I44" s="571"/>
      <c r="J44" s="571"/>
      <c r="K44" s="571"/>
      <c r="L44" s="571"/>
      <c r="O44" s="15"/>
      <c r="P44" s="12"/>
      <c r="Q44" s="12"/>
      <c r="R44" s="12"/>
      <c r="S44" s="10"/>
    </row>
    <row r="45" spans="1:19" s="41" customFormat="1" ht="15.75" customHeight="1" x14ac:dyDescent="0.25">
      <c r="A45" s="39"/>
      <c r="B45" s="571"/>
      <c r="C45" s="571"/>
      <c r="D45" s="571"/>
      <c r="E45" s="571"/>
      <c r="F45" s="571"/>
      <c r="G45" s="571"/>
      <c r="H45" s="571"/>
      <c r="I45" s="571"/>
      <c r="J45" s="571"/>
      <c r="K45" s="571"/>
      <c r="L45" s="571"/>
      <c r="O45" s="15"/>
      <c r="P45" s="12"/>
      <c r="Q45" s="12"/>
      <c r="R45" s="12"/>
      <c r="S45" s="10"/>
    </row>
    <row r="46" spans="1:19" s="41" customFormat="1" ht="15.75" customHeight="1" x14ac:dyDescent="0.25">
      <c r="A46" s="39"/>
      <c r="B46" s="571"/>
      <c r="C46" s="571"/>
      <c r="D46" s="571"/>
      <c r="E46" s="571"/>
      <c r="F46" s="571"/>
      <c r="G46" s="571"/>
      <c r="H46" s="571"/>
      <c r="I46" s="571"/>
      <c r="J46" s="571"/>
      <c r="K46" s="571"/>
      <c r="L46" s="571"/>
      <c r="O46" s="15"/>
      <c r="P46" s="12"/>
      <c r="Q46" s="12"/>
      <c r="R46" s="12"/>
      <c r="S46" s="10"/>
    </row>
    <row r="47" spans="1:19" s="41" customFormat="1" ht="15.75" customHeight="1" x14ac:dyDescent="0.25">
      <c r="A47" s="39"/>
      <c r="B47" s="571"/>
      <c r="C47" s="571"/>
      <c r="D47" s="571"/>
      <c r="E47" s="571"/>
      <c r="F47" s="571"/>
      <c r="G47" s="571"/>
      <c r="H47" s="571"/>
      <c r="I47" s="571"/>
      <c r="J47" s="571"/>
      <c r="K47" s="571"/>
      <c r="L47" s="571"/>
      <c r="O47" s="15"/>
      <c r="P47" s="12"/>
      <c r="Q47" s="12"/>
      <c r="R47" s="12"/>
      <c r="S47" s="10"/>
    </row>
    <row r="48" spans="1:19" s="41" customFormat="1" ht="15.75" customHeight="1" x14ac:dyDescent="0.25">
      <c r="A48" s="39"/>
      <c r="B48" s="571"/>
      <c r="C48" s="571"/>
      <c r="D48" s="571"/>
      <c r="E48" s="571"/>
      <c r="F48" s="571"/>
      <c r="G48" s="571"/>
      <c r="H48" s="571"/>
      <c r="I48" s="571"/>
      <c r="J48" s="571"/>
      <c r="K48" s="571"/>
      <c r="L48" s="571"/>
      <c r="O48" s="15"/>
      <c r="P48" s="12"/>
      <c r="Q48" s="12"/>
      <c r="R48" s="12"/>
      <c r="S48" s="10"/>
    </row>
    <row r="49" spans="1:19" s="41" customFormat="1" ht="15.75" customHeight="1" x14ac:dyDescent="0.25">
      <c r="A49" s="39"/>
      <c r="B49" s="571"/>
      <c r="C49" s="571"/>
      <c r="D49" s="571"/>
      <c r="E49" s="571"/>
      <c r="F49" s="571"/>
      <c r="G49" s="571"/>
      <c r="H49" s="571"/>
      <c r="I49" s="571"/>
      <c r="J49" s="571"/>
      <c r="K49" s="571"/>
      <c r="L49" s="571"/>
      <c r="O49" s="15"/>
      <c r="P49" s="12"/>
      <c r="Q49" s="12"/>
      <c r="R49" s="12"/>
      <c r="S49" s="10"/>
    </row>
    <row r="50" spans="1:19" s="41" customFormat="1" ht="15.75" customHeight="1" x14ac:dyDescent="0.25">
      <c r="A50" s="39"/>
      <c r="B50" s="571"/>
      <c r="C50" s="571"/>
      <c r="D50" s="571"/>
      <c r="E50" s="571"/>
      <c r="F50" s="571"/>
      <c r="G50" s="571"/>
      <c r="H50" s="571"/>
      <c r="I50" s="571"/>
      <c r="J50" s="571"/>
      <c r="K50" s="571"/>
      <c r="L50" s="571"/>
      <c r="O50" s="15"/>
      <c r="P50" s="12"/>
      <c r="Q50" s="12"/>
      <c r="R50" s="12"/>
      <c r="S50" s="10"/>
    </row>
    <row r="51" spans="1:19" s="41" customFormat="1" ht="15.75" customHeight="1" x14ac:dyDescent="0.25">
      <c r="A51" s="39"/>
      <c r="B51" s="571"/>
      <c r="C51" s="571"/>
      <c r="D51" s="571"/>
      <c r="E51" s="571"/>
      <c r="F51" s="571"/>
      <c r="G51" s="571"/>
      <c r="H51" s="571"/>
      <c r="I51" s="571"/>
      <c r="J51" s="571"/>
      <c r="K51" s="571"/>
      <c r="L51" s="571"/>
      <c r="O51" s="15"/>
      <c r="P51" s="12"/>
      <c r="Q51" s="12"/>
      <c r="R51" s="12"/>
      <c r="S51" s="10"/>
    </row>
    <row r="52" spans="1:19" s="41" customFormat="1" ht="15.75" customHeight="1" x14ac:dyDescent="0.25">
      <c r="A52" s="39"/>
      <c r="B52" s="571"/>
      <c r="C52" s="571"/>
      <c r="D52" s="571"/>
      <c r="E52" s="571"/>
      <c r="F52" s="571"/>
      <c r="G52" s="571"/>
      <c r="H52" s="571"/>
      <c r="I52" s="571"/>
      <c r="J52" s="571"/>
      <c r="K52" s="571"/>
      <c r="L52" s="571"/>
      <c r="O52" s="15"/>
      <c r="P52" s="12"/>
      <c r="Q52" s="12"/>
      <c r="R52" s="12"/>
      <c r="S52" s="10"/>
    </row>
    <row r="53" spans="1:19" s="41" customFormat="1" ht="15.75" customHeight="1" x14ac:dyDescent="0.25">
      <c r="A53" s="39"/>
      <c r="B53" s="571"/>
      <c r="C53" s="571"/>
      <c r="D53" s="571"/>
      <c r="E53" s="571"/>
      <c r="F53" s="571"/>
      <c r="G53" s="571"/>
      <c r="H53" s="571"/>
      <c r="I53" s="571"/>
      <c r="J53" s="571"/>
      <c r="K53" s="571"/>
      <c r="L53" s="571"/>
      <c r="O53" s="15"/>
      <c r="P53" s="12"/>
      <c r="Q53" s="12"/>
      <c r="R53" s="12"/>
      <c r="S53" s="10"/>
    </row>
    <row r="54" spans="1:19" s="41" customFormat="1" ht="13.8" x14ac:dyDescent="0.25">
      <c r="A54" s="75"/>
      <c r="B54" s="571"/>
      <c r="C54" s="571"/>
      <c r="D54" s="571"/>
      <c r="E54" s="571"/>
      <c r="F54" s="571"/>
      <c r="G54" s="571"/>
      <c r="H54" s="571"/>
      <c r="I54" s="571"/>
      <c r="J54" s="571"/>
      <c r="K54" s="571"/>
      <c r="L54" s="571"/>
      <c r="O54" s="15"/>
      <c r="P54" s="12"/>
      <c r="Q54" s="12"/>
      <c r="R54" s="12"/>
      <c r="S54" s="10"/>
    </row>
    <row r="55" spans="1:19" s="41" customFormat="1" ht="13.8" x14ac:dyDescent="0.25">
      <c r="A55" s="208"/>
      <c r="B55" s="571"/>
      <c r="C55" s="571"/>
      <c r="D55" s="571"/>
      <c r="E55" s="571"/>
      <c r="F55" s="571"/>
      <c r="G55" s="571"/>
      <c r="H55" s="571"/>
      <c r="I55" s="571"/>
      <c r="J55" s="571"/>
      <c r="K55" s="571"/>
      <c r="L55" s="571"/>
      <c r="O55" s="15"/>
      <c r="P55" s="12"/>
      <c r="Q55" s="12"/>
      <c r="R55" s="12"/>
      <c r="S55" s="10"/>
    </row>
    <row r="56" spans="1:19" s="41" customFormat="1" ht="13.8" x14ac:dyDescent="0.25">
      <c r="A56" s="208"/>
      <c r="B56" s="571"/>
      <c r="C56" s="571"/>
      <c r="D56" s="571"/>
      <c r="E56" s="571"/>
      <c r="F56" s="571"/>
      <c r="G56" s="571"/>
      <c r="H56" s="571"/>
      <c r="I56" s="571"/>
      <c r="J56" s="571"/>
      <c r="K56" s="571"/>
      <c r="L56" s="571"/>
      <c r="O56" s="15"/>
      <c r="P56" s="12"/>
      <c r="Q56" s="12"/>
      <c r="R56" s="12"/>
      <c r="S56" s="10"/>
    </row>
    <row r="57" spans="1:19" s="41" customFormat="1" ht="13.8" x14ac:dyDescent="0.25">
      <c r="A57" s="208"/>
      <c r="B57" s="571"/>
      <c r="C57" s="571"/>
      <c r="D57" s="571"/>
      <c r="E57" s="571"/>
      <c r="F57" s="571"/>
      <c r="G57" s="571"/>
      <c r="H57" s="571"/>
      <c r="I57" s="571"/>
      <c r="J57" s="571"/>
      <c r="K57" s="571"/>
      <c r="L57" s="571"/>
      <c r="O57" s="15"/>
      <c r="P57" s="12"/>
      <c r="Q57" s="12"/>
      <c r="R57" s="12"/>
      <c r="S57" s="10"/>
    </row>
    <row r="58" spans="1:19" s="41" customFormat="1" ht="13.8" x14ac:dyDescent="0.25">
      <c r="A58" s="208"/>
      <c r="B58" s="571"/>
      <c r="C58" s="571"/>
      <c r="D58" s="571"/>
      <c r="E58" s="571"/>
      <c r="F58" s="571"/>
      <c r="G58" s="571"/>
      <c r="H58" s="571"/>
      <c r="I58" s="571"/>
      <c r="J58" s="571"/>
      <c r="K58" s="571"/>
      <c r="L58" s="571"/>
      <c r="O58" s="15"/>
      <c r="P58" s="12"/>
      <c r="Q58" s="12"/>
      <c r="R58" s="12"/>
      <c r="S58" s="10"/>
    </row>
    <row r="59" spans="1:19" s="41" customFormat="1" ht="13.8" x14ac:dyDescent="0.25">
      <c r="A59" s="208"/>
      <c r="B59" s="571"/>
      <c r="C59" s="571"/>
      <c r="D59" s="571"/>
      <c r="E59" s="571"/>
      <c r="F59" s="571"/>
      <c r="G59" s="571"/>
      <c r="H59" s="571"/>
      <c r="I59" s="571"/>
      <c r="J59" s="571"/>
      <c r="K59" s="571"/>
      <c r="L59" s="571"/>
      <c r="O59" s="15"/>
      <c r="P59" s="12"/>
      <c r="Q59" s="12"/>
      <c r="R59" s="12"/>
      <c r="S59" s="10"/>
    </row>
    <row r="60" spans="1:19" s="41" customFormat="1" ht="13.8" x14ac:dyDescent="0.25">
      <c r="A60" s="208"/>
      <c r="B60" s="571"/>
      <c r="C60" s="571"/>
      <c r="D60" s="571"/>
      <c r="E60" s="571"/>
      <c r="F60" s="571"/>
      <c r="G60" s="571"/>
      <c r="H60" s="571"/>
      <c r="I60" s="571"/>
      <c r="J60" s="571"/>
      <c r="K60" s="571"/>
      <c r="L60" s="571"/>
      <c r="O60" s="15"/>
      <c r="P60" s="12"/>
      <c r="Q60" s="12"/>
      <c r="R60" s="12"/>
      <c r="S60" s="10"/>
    </row>
    <row r="61" spans="1:19" s="41" customFormat="1" ht="13.8" x14ac:dyDescent="0.25">
      <c r="A61" s="208"/>
      <c r="B61" s="571"/>
      <c r="C61" s="571"/>
      <c r="D61" s="571"/>
      <c r="E61" s="571"/>
      <c r="F61" s="571"/>
      <c r="G61" s="571"/>
      <c r="H61" s="571"/>
      <c r="I61" s="571"/>
      <c r="J61" s="571"/>
      <c r="K61" s="571"/>
      <c r="L61" s="571"/>
      <c r="O61" s="15"/>
      <c r="P61" s="12"/>
      <c r="Q61" s="12"/>
      <c r="R61" s="12"/>
      <c r="S61" s="10"/>
    </row>
    <row r="62" spans="1:19" s="41" customFormat="1" ht="13.8" x14ac:dyDescent="0.25">
      <c r="A62" s="208"/>
      <c r="B62" s="571"/>
      <c r="C62" s="571"/>
      <c r="D62" s="571"/>
      <c r="E62" s="571"/>
      <c r="F62" s="571"/>
      <c r="G62" s="571"/>
      <c r="H62" s="571"/>
      <c r="I62" s="571"/>
      <c r="J62" s="571"/>
      <c r="K62" s="571"/>
      <c r="L62" s="571"/>
      <c r="O62" s="15"/>
      <c r="P62" s="12"/>
      <c r="Q62" s="12"/>
      <c r="R62" s="12"/>
      <c r="S62" s="10"/>
    </row>
    <row r="63" spans="1:19" s="41" customFormat="1" ht="13.8" x14ac:dyDescent="0.25">
      <c r="A63" s="208"/>
      <c r="B63" s="571"/>
      <c r="C63" s="571"/>
      <c r="D63" s="571"/>
      <c r="E63" s="571"/>
      <c r="F63" s="571"/>
      <c r="G63" s="571"/>
      <c r="H63" s="571"/>
      <c r="I63" s="571"/>
      <c r="J63" s="571"/>
      <c r="K63" s="571"/>
      <c r="L63" s="571"/>
      <c r="O63" s="15"/>
      <c r="P63" s="12"/>
      <c r="Q63" s="12"/>
      <c r="R63" s="12"/>
      <c r="S63" s="10"/>
    </row>
    <row r="64" spans="1:19" s="41" customFormat="1" ht="13.8" x14ac:dyDescent="0.25">
      <c r="A64" s="208"/>
      <c r="B64" s="571"/>
      <c r="C64" s="571"/>
      <c r="D64" s="571"/>
      <c r="E64" s="571"/>
      <c r="F64" s="571"/>
      <c r="G64" s="571"/>
      <c r="H64" s="571"/>
      <c r="I64" s="571"/>
      <c r="J64" s="571"/>
      <c r="K64" s="571"/>
      <c r="L64" s="571"/>
      <c r="O64" s="15"/>
      <c r="P64" s="12"/>
      <c r="Q64" s="12"/>
      <c r="R64" s="12"/>
      <c r="S64" s="10"/>
    </row>
    <row r="65" spans="1:19" s="41" customFormat="1" ht="13.8" x14ac:dyDescent="0.25">
      <c r="A65" s="208"/>
      <c r="B65" s="571"/>
      <c r="C65" s="571"/>
      <c r="D65" s="571"/>
      <c r="E65" s="571"/>
      <c r="F65" s="571"/>
      <c r="G65" s="571"/>
      <c r="H65" s="571"/>
      <c r="I65" s="571"/>
      <c r="J65" s="571"/>
      <c r="K65" s="571"/>
      <c r="L65" s="571"/>
      <c r="O65" s="15"/>
      <c r="P65" s="12"/>
      <c r="Q65" s="12"/>
      <c r="R65" s="12"/>
      <c r="S65" s="10"/>
    </row>
    <row r="66" spans="1:19" s="41" customFormat="1" ht="13.8" x14ac:dyDescent="0.25">
      <c r="A66" s="208"/>
      <c r="B66" s="571"/>
      <c r="C66" s="571"/>
      <c r="D66" s="571"/>
      <c r="E66" s="571"/>
      <c r="F66" s="571"/>
      <c r="G66" s="571"/>
      <c r="H66" s="571"/>
      <c r="I66" s="571"/>
      <c r="J66" s="571"/>
      <c r="K66" s="571"/>
      <c r="L66" s="571"/>
      <c r="O66" s="15"/>
      <c r="P66" s="12"/>
      <c r="Q66" s="12"/>
      <c r="R66" s="12"/>
      <c r="S66" s="10"/>
    </row>
    <row r="67" spans="1:19" s="41" customFormat="1" ht="13.8" x14ac:dyDescent="0.25">
      <c r="A67" s="208"/>
      <c r="B67" s="571"/>
      <c r="C67" s="571"/>
      <c r="D67" s="571"/>
      <c r="E67" s="571"/>
      <c r="F67" s="571"/>
      <c r="G67" s="571"/>
      <c r="H67" s="571"/>
      <c r="I67" s="571"/>
      <c r="J67" s="571"/>
      <c r="K67" s="571"/>
      <c r="L67" s="571"/>
      <c r="O67" s="15"/>
      <c r="P67" s="12"/>
      <c r="Q67" s="12"/>
      <c r="R67" s="12"/>
      <c r="S67" s="10"/>
    </row>
    <row r="68" spans="1:19" s="41" customFormat="1" ht="13.8" x14ac:dyDescent="0.25">
      <c r="A68" s="208"/>
      <c r="B68" s="571"/>
      <c r="C68" s="571"/>
      <c r="D68" s="571"/>
      <c r="E68" s="571"/>
      <c r="F68" s="571"/>
      <c r="G68" s="571"/>
      <c r="H68" s="571"/>
      <c r="I68" s="571"/>
      <c r="J68" s="571"/>
      <c r="K68" s="571"/>
      <c r="L68" s="571"/>
      <c r="O68" s="15"/>
      <c r="P68" s="12"/>
      <c r="Q68" s="12"/>
      <c r="R68" s="12"/>
      <c r="S68" s="10"/>
    </row>
    <row r="69" spans="1:19" s="41" customFormat="1" ht="13.8" x14ac:dyDescent="0.25">
      <c r="A69" s="208"/>
      <c r="B69" s="571"/>
      <c r="C69" s="571"/>
      <c r="D69" s="571"/>
      <c r="E69" s="571"/>
      <c r="F69" s="571"/>
      <c r="G69" s="571"/>
      <c r="H69" s="571"/>
      <c r="I69" s="571"/>
      <c r="J69" s="571"/>
      <c r="K69" s="571"/>
      <c r="L69" s="571"/>
      <c r="O69" s="15"/>
      <c r="P69" s="12"/>
      <c r="Q69" s="12"/>
      <c r="R69" s="12"/>
      <c r="S69" s="10"/>
    </row>
    <row r="70" spans="1:19" s="41" customFormat="1" ht="13.8" x14ac:dyDescent="0.25">
      <c r="A70" s="208"/>
      <c r="B70" s="571"/>
      <c r="C70" s="571"/>
      <c r="D70" s="571"/>
      <c r="E70" s="571"/>
      <c r="F70" s="571"/>
      <c r="G70" s="571"/>
      <c r="H70" s="571"/>
      <c r="I70" s="571"/>
      <c r="J70" s="571"/>
      <c r="K70" s="571"/>
      <c r="L70" s="571"/>
      <c r="O70" s="15"/>
      <c r="P70" s="12"/>
      <c r="Q70" s="12"/>
      <c r="R70" s="12"/>
      <c r="S70" s="10"/>
    </row>
    <row r="71" spans="1:19" s="41" customFormat="1" ht="13.8" x14ac:dyDescent="0.25">
      <c r="A71" s="208"/>
      <c r="B71" s="571"/>
      <c r="C71" s="571"/>
      <c r="D71" s="571"/>
      <c r="E71" s="571"/>
      <c r="F71" s="571"/>
      <c r="G71" s="571"/>
      <c r="H71" s="571"/>
      <c r="I71" s="571"/>
      <c r="J71" s="571"/>
      <c r="K71" s="571"/>
      <c r="L71" s="571"/>
      <c r="O71" s="15"/>
      <c r="P71" s="12"/>
      <c r="Q71" s="12"/>
      <c r="R71" s="12"/>
      <c r="S71" s="10"/>
    </row>
    <row r="72" spans="1:19" s="41" customFormat="1" ht="13.8" x14ac:dyDescent="0.25">
      <c r="A72" s="208"/>
      <c r="B72" s="571"/>
      <c r="C72" s="571"/>
      <c r="D72" s="571"/>
      <c r="E72" s="571"/>
      <c r="F72" s="571"/>
      <c r="G72" s="571"/>
      <c r="H72" s="571"/>
      <c r="I72" s="571"/>
      <c r="J72" s="571"/>
      <c r="K72" s="571"/>
      <c r="L72" s="571"/>
      <c r="O72" s="15"/>
      <c r="P72" s="12"/>
      <c r="Q72" s="12"/>
      <c r="R72" s="12"/>
      <c r="S72" s="10"/>
    </row>
    <row r="73" spans="1:19" s="41" customFormat="1" ht="13.8" x14ac:dyDescent="0.25">
      <c r="A73" s="208"/>
      <c r="B73" s="571"/>
      <c r="C73" s="571"/>
      <c r="D73" s="571"/>
      <c r="E73" s="571"/>
      <c r="F73" s="571"/>
      <c r="G73" s="571"/>
      <c r="H73" s="571"/>
      <c r="I73" s="571"/>
      <c r="J73" s="571"/>
      <c r="K73" s="571"/>
      <c r="L73" s="571"/>
      <c r="O73" s="15"/>
      <c r="P73" s="12"/>
      <c r="Q73" s="12"/>
      <c r="R73" s="12"/>
      <c r="S73" s="10"/>
    </row>
    <row r="74" spans="1:19" s="41" customFormat="1" ht="13.8" x14ac:dyDescent="0.25">
      <c r="A74" s="208"/>
      <c r="B74" s="571"/>
      <c r="C74" s="571"/>
      <c r="D74" s="571"/>
      <c r="E74" s="571"/>
      <c r="F74" s="571"/>
      <c r="G74" s="571"/>
      <c r="H74" s="571"/>
      <c r="I74" s="571"/>
      <c r="J74" s="571"/>
      <c r="K74" s="571"/>
      <c r="L74" s="571"/>
      <c r="O74" s="15"/>
      <c r="P74" s="12"/>
      <c r="Q74" s="12"/>
      <c r="R74" s="12"/>
      <c r="S74" s="10"/>
    </row>
    <row r="75" spans="1:19" s="41" customFormat="1" ht="13.8" x14ac:dyDescent="0.25">
      <c r="A75" s="208"/>
      <c r="B75" s="571"/>
      <c r="C75" s="571"/>
      <c r="D75" s="571"/>
      <c r="E75" s="571"/>
      <c r="F75" s="571"/>
      <c r="G75" s="571"/>
      <c r="H75" s="571"/>
      <c r="I75" s="571"/>
      <c r="J75" s="571"/>
      <c r="K75" s="571"/>
      <c r="L75" s="571"/>
      <c r="O75" s="15"/>
      <c r="P75" s="12"/>
      <c r="Q75" s="12"/>
      <c r="R75" s="12"/>
      <c r="S75" s="10"/>
    </row>
    <row r="76" spans="1:19" s="41" customFormat="1" ht="13.8" x14ac:dyDescent="0.25">
      <c r="A76" s="208"/>
      <c r="B76" s="571"/>
      <c r="C76" s="571"/>
      <c r="D76" s="571"/>
      <c r="E76" s="571"/>
      <c r="F76" s="571"/>
      <c r="G76" s="571"/>
      <c r="H76" s="571"/>
      <c r="I76" s="571"/>
      <c r="J76" s="571"/>
      <c r="K76" s="571"/>
      <c r="L76" s="571"/>
      <c r="O76" s="15"/>
      <c r="P76" s="12"/>
      <c r="Q76" s="12"/>
      <c r="R76" s="12"/>
      <c r="S76" s="10"/>
    </row>
    <row r="77" spans="1:19" s="41" customFormat="1" ht="13.8" x14ac:dyDescent="0.25">
      <c r="A77" s="208"/>
      <c r="B77" s="571"/>
      <c r="C77" s="571"/>
      <c r="D77" s="571"/>
      <c r="E77" s="571"/>
      <c r="F77" s="571"/>
      <c r="G77" s="571"/>
      <c r="H77" s="571"/>
      <c r="I77" s="571"/>
      <c r="J77" s="571"/>
      <c r="K77" s="571"/>
      <c r="L77" s="571"/>
      <c r="O77" s="15"/>
      <c r="P77" s="12"/>
      <c r="Q77" s="12"/>
      <c r="R77" s="12"/>
      <c r="S77" s="10"/>
    </row>
    <row r="78" spans="1:19" s="41" customFormat="1" ht="13.8" x14ac:dyDescent="0.25">
      <c r="A78" s="208"/>
      <c r="B78" s="571"/>
      <c r="C78" s="571"/>
      <c r="D78" s="571"/>
      <c r="E78" s="571"/>
      <c r="F78" s="571"/>
      <c r="G78" s="571"/>
      <c r="H78" s="571"/>
      <c r="I78" s="571"/>
      <c r="J78" s="571"/>
      <c r="K78" s="571"/>
      <c r="L78" s="571"/>
      <c r="O78" s="15"/>
      <c r="P78" s="12"/>
      <c r="Q78" s="12"/>
      <c r="R78" s="12"/>
      <c r="S78" s="10"/>
    </row>
    <row r="79" spans="1:19" s="41" customFormat="1" ht="13.8" x14ac:dyDescent="0.25">
      <c r="A79" s="208"/>
      <c r="B79" s="571"/>
      <c r="C79" s="571"/>
      <c r="D79" s="571"/>
      <c r="E79" s="571"/>
      <c r="F79" s="571"/>
      <c r="G79" s="571"/>
      <c r="H79" s="571"/>
      <c r="I79" s="571"/>
      <c r="J79" s="571"/>
      <c r="K79" s="571"/>
      <c r="L79" s="571"/>
      <c r="O79" s="15"/>
      <c r="P79" s="12"/>
      <c r="Q79" s="12"/>
      <c r="R79" s="12"/>
      <c r="S79" s="10"/>
    </row>
    <row r="80" spans="1:19" s="41" customFormat="1" ht="13.8" x14ac:dyDescent="0.25">
      <c r="A80" s="208"/>
      <c r="B80" s="571"/>
      <c r="C80" s="571"/>
      <c r="D80" s="571"/>
      <c r="E80" s="571"/>
      <c r="F80" s="571"/>
      <c r="G80" s="571"/>
      <c r="H80" s="571"/>
      <c r="I80" s="571"/>
      <c r="J80" s="571"/>
      <c r="K80" s="571"/>
      <c r="L80" s="571"/>
      <c r="O80" s="15"/>
      <c r="P80" s="12"/>
      <c r="Q80" s="12"/>
      <c r="R80" s="12">
        <f>1600-675</f>
        <v>925</v>
      </c>
      <c r="S80" s="10"/>
    </row>
    <row r="81" spans="1:19" s="62" customFormat="1" ht="13.8" x14ac:dyDescent="0.25">
      <c r="A81" s="68"/>
      <c r="B81" s="571"/>
      <c r="C81" s="571"/>
      <c r="D81" s="571"/>
      <c r="E81" s="571"/>
      <c r="F81" s="571"/>
      <c r="G81" s="571"/>
      <c r="H81" s="571"/>
      <c r="I81" s="571"/>
      <c r="J81" s="571"/>
      <c r="K81" s="571"/>
      <c r="L81" s="571"/>
      <c r="M81" s="176"/>
      <c r="O81" s="177"/>
      <c r="P81" s="36"/>
      <c r="Q81" s="36"/>
      <c r="R81" s="36"/>
      <c r="S81" s="178"/>
    </row>
    <row r="82" spans="1:19" ht="12.75" customHeight="1" x14ac:dyDescent="0.25">
      <c r="B82" s="571"/>
      <c r="C82" s="571"/>
      <c r="D82" s="571"/>
      <c r="E82" s="571"/>
      <c r="F82" s="571"/>
      <c r="G82" s="571"/>
      <c r="H82" s="571"/>
      <c r="I82" s="571"/>
      <c r="J82" s="571"/>
      <c r="K82" s="571"/>
      <c r="L82" s="571"/>
    </row>
    <row r="83" spans="1:19" ht="12.75" customHeight="1" x14ac:dyDescent="0.25">
      <c r="B83" s="571"/>
      <c r="C83" s="571"/>
      <c r="D83" s="571"/>
      <c r="E83" s="571"/>
      <c r="F83" s="571"/>
      <c r="G83" s="571"/>
      <c r="H83" s="571"/>
      <c r="I83" s="571"/>
      <c r="J83" s="571"/>
      <c r="K83" s="571"/>
      <c r="L83" s="571"/>
    </row>
    <row r="84" spans="1:19" s="62" customFormat="1" ht="4.5" customHeight="1" x14ac:dyDescent="0.25">
      <c r="A84" s="68"/>
      <c r="B84" s="68"/>
      <c r="C84" s="68"/>
      <c r="D84" s="68"/>
      <c r="E84" s="68"/>
      <c r="F84" s="68"/>
      <c r="G84" s="68"/>
      <c r="H84" s="203"/>
      <c r="I84" s="203"/>
      <c r="J84" s="63"/>
      <c r="K84" s="176"/>
      <c r="L84" s="176"/>
      <c r="M84" s="176"/>
      <c r="O84" s="177"/>
      <c r="P84" s="36"/>
      <c r="Q84" s="36"/>
      <c r="R84" s="36"/>
      <c r="S84" s="178"/>
    </row>
    <row r="85" spans="1:19" s="41" customFormat="1" ht="16.5" customHeight="1" x14ac:dyDescent="0.25">
      <c r="A85" s="370"/>
      <c r="B85" s="371" t="s">
        <v>26</v>
      </c>
      <c r="C85" s="372"/>
      <c r="D85" s="373"/>
      <c r="E85" s="373"/>
      <c r="F85" s="373"/>
      <c r="G85" s="373"/>
      <c r="H85" s="374"/>
      <c r="I85" s="372"/>
      <c r="J85" s="373"/>
      <c r="K85" s="372"/>
      <c r="L85" s="372"/>
      <c r="M85" s="372"/>
      <c r="O85" s="15"/>
      <c r="P85" s="12"/>
      <c r="Q85" s="12"/>
      <c r="R85" s="12"/>
      <c r="S85" s="37"/>
    </row>
    <row r="86" spans="1:19" s="41" customFormat="1" ht="16.5" customHeight="1" x14ac:dyDescent="0.25">
      <c r="A86" s="43"/>
      <c r="B86" s="375" t="s">
        <v>221</v>
      </c>
      <c r="D86" s="254"/>
      <c r="E86" s="254"/>
      <c r="F86" s="254"/>
      <c r="G86" s="254"/>
      <c r="H86" s="53"/>
      <c r="J86" s="254"/>
      <c r="O86" s="15"/>
      <c r="P86" s="12"/>
      <c r="Q86" s="12"/>
      <c r="R86" s="12"/>
      <c r="S86" s="37"/>
    </row>
    <row r="87" spans="1:19" ht="17.25" customHeight="1" x14ac:dyDescent="0.25">
      <c r="B87" s="313" t="s">
        <v>29</v>
      </c>
      <c r="C87" s="311" t="s">
        <v>212</v>
      </c>
      <c r="D87" s="314"/>
      <c r="E87" s="314"/>
      <c r="F87" s="314"/>
      <c r="G87" s="315"/>
      <c r="H87" s="315"/>
      <c r="I87" s="574" t="s">
        <v>19</v>
      </c>
      <c r="J87" s="574"/>
      <c r="K87" s="574"/>
      <c r="L87" s="316">
        <v>180000</v>
      </c>
      <c r="M87" s="348" t="s">
        <v>196</v>
      </c>
      <c r="N87" s="348"/>
      <c r="O87" s="41"/>
      <c r="P87" s="41"/>
      <c r="Q87" s="41"/>
      <c r="R87" s="41"/>
      <c r="S87" s="40"/>
    </row>
    <row r="88" spans="1:19" ht="17.25" customHeight="1" x14ac:dyDescent="0.25">
      <c r="B88" s="313" t="s">
        <v>30</v>
      </c>
      <c r="C88" s="311" t="s">
        <v>288</v>
      </c>
      <c r="D88" s="314"/>
      <c r="E88" s="314"/>
      <c r="F88" s="314"/>
      <c r="G88" s="315"/>
      <c r="H88" s="315"/>
      <c r="I88" s="477" t="s">
        <v>13</v>
      </c>
      <c r="J88" s="477"/>
      <c r="K88" s="477"/>
      <c r="L88" s="317">
        <v>20000</v>
      </c>
      <c r="M88" s="348"/>
      <c r="N88" s="348"/>
      <c r="O88" s="41"/>
      <c r="P88" s="41"/>
      <c r="Q88" s="41"/>
      <c r="R88" s="41"/>
      <c r="S88" s="40"/>
    </row>
    <row r="89" spans="1:19" ht="17.25" customHeight="1" x14ac:dyDescent="0.25">
      <c r="B89" s="313" t="s">
        <v>31</v>
      </c>
      <c r="C89" s="311" t="s">
        <v>213</v>
      </c>
      <c r="D89" s="314"/>
      <c r="E89" s="314"/>
      <c r="F89" s="314"/>
      <c r="G89" s="315"/>
      <c r="H89" s="315"/>
      <c r="I89" s="574" t="s">
        <v>18</v>
      </c>
      <c r="J89" s="574"/>
      <c r="K89" s="574"/>
      <c r="L89" s="317">
        <v>-20000</v>
      </c>
      <c r="M89" s="348"/>
      <c r="N89" s="348"/>
      <c r="O89" s="41"/>
      <c r="P89" s="41"/>
      <c r="Q89" s="41"/>
      <c r="R89" s="41"/>
      <c r="S89" s="40"/>
    </row>
    <row r="90" spans="1:19" ht="17.25" customHeight="1" x14ac:dyDescent="0.25">
      <c r="B90" s="313" t="s">
        <v>32</v>
      </c>
      <c r="C90" s="311" t="s">
        <v>214</v>
      </c>
      <c r="D90" s="314"/>
      <c r="E90" s="314"/>
      <c r="F90" s="314"/>
      <c r="G90" s="315"/>
      <c r="H90" s="315"/>
      <c r="I90" s="574" t="s">
        <v>6</v>
      </c>
      <c r="J90" s="574"/>
      <c r="K90" s="574"/>
      <c r="L90" s="317">
        <v>-60000</v>
      </c>
      <c r="M90" s="348"/>
      <c r="N90" s="348"/>
      <c r="O90" s="41"/>
      <c r="P90" s="41"/>
      <c r="Q90" s="41"/>
      <c r="R90" s="41"/>
      <c r="S90" s="40"/>
    </row>
    <row r="91" spans="1:19" ht="17.25" customHeight="1" x14ac:dyDescent="0.25">
      <c r="B91" s="313" t="s">
        <v>33</v>
      </c>
      <c r="C91" s="311" t="s">
        <v>215</v>
      </c>
      <c r="D91" s="314"/>
      <c r="E91" s="314"/>
      <c r="F91" s="314"/>
      <c r="G91" s="315"/>
      <c r="H91" s="315"/>
      <c r="I91" s="574" t="s">
        <v>14</v>
      </c>
      <c r="J91" s="574"/>
      <c r="K91" s="574"/>
      <c r="L91" s="317">
        <v>-140000</v>
      </c>
      <c r="M91" s="348"/>
      <c r="N91" s="348"/>
      <c r="O91" s="41"/>
      <c r="P91" s="41"/>
      <c r="Q91" s="41"/>
      <c r="R91" s="41"/>
      <c r="S91" s="40"/>
    </row>
    <row r="92" spans="1:19" ht="17.25" customHeight="1" x14ac:dyDescent="0.25">
      <c r="B92" s="313" t="s">
        <v>181</v>
      </c>
      <c r="C92" s="311" t="s">
        <v>291</v>
      </c>
      <c r="D92" s="314"/>
      <c r="E92" s="314"/>
      <c r="F92" s="314"/>
      <c r="G92" s="315"/>
      <c r="H92" s="315"/>
      <c r="I92" s="574" t="s">
        <v>18</v>
      </c>
      <c r="J92" s="574"/>
      <c r="K92" s="574"/>
      <c r="L92" s="317">
        <v>-240000</v>
      </c>
      <c r="M92" s="348"/>
      <c r="N92" s="348"/>
      <c r="O92" s="41"/>
      <c r="P92" s="41"/>
      <c r="Q92" s="41"/>
      <c r="R92" s="41"/>
      <c r="S92" s="40"/>
    </row>
    <row r="93" spans="1:19" ht="17.25" customHeight="1" x14ac:dyDescent="0.25">
      <c r="B93" s="313" t="s">
        <v>182</v>
      </c>
      <c r="C93" s="311" t="s">
        <v>216</v>
      </c>
      <c r="D93" s="314"/>
      <c r="E93" s="314"/>
      <c r="F93" s="314"/>
      <c r="G93" s="315"/>
      <c r="H93" s="315"/>
      <c r="I93" s="574" t="s">
        <v>24</v>
      </c>
      <c r="J93" s="574"/>
      <c r="K93" s="574"/>
      <c r="L93" s="317">
        <v>-240000</v>
      </c>
      <c r="M93" s="348"/>
      <c r="N93" s="348"/>
      <c r="O93" s="41"/>
      <c r="P93" s="41"/>
      <c r="Q93" s="41"/>
      <c r="R93" s="41"/>
      <c r="S93" s="40"/>
    </row>
    <row r="94" spans="1:19" ht="17.25" customHeight="1" x14ac:dyDescent="0.25">
      <c r="B94" s="313"/>
      <c r="C94" s="382" t="str">
        <f>+"Total "&amp;B86</f>
        <v>Total Legal Services, Real Estate Services, Risk Management and Purchasing Divisions</v>
      </c>
      <c r="D94" s="314"/>
      <c r="E94" s="314"/>
      <c r="F94" s="314"/>
      <c r="G94" s="315"/>
      <c r="H94" s="315"/>
      <c r="I94" s="318"/>
      <c r="J94" s="318"/>
      <c r="K94" s="318"/>
      <c r="L94" s="476">
        <f>SUM(L87:L93)</f>
        <v>-500000</v>
      </c>
      <c r="M94" s="348"/>
      <c r="N94" s="348"/>
      <c r="O94" s="41"/>
      <c r="P94" s="41"/>
      <c r="Q94" s="41"/>
      <c r="R94" s="41"/>
      <c r="S94" s="40"/>
    </row>
    <row r="95" spans="1:19" ht="17.25" customHeight="1" x14ac:dyDescent="0.25">
      <c r="B95" s="376" t="s">
        <v>217</v>
      </c>
      <c r="C95" s="312"/>
      <c r="D95" s="314"/>
      <c r="E95" s="314"/>
      <c r="F95" s="314"/>
      <c r="G95" s="315"/>
      <c r="H95" s="315"/>
      <c r="I95" s="318"/>
      <c r="J95" s="318"/>
      <c r="K95" s="318"/>
      <c r="L95" s="317"/>
      <c r="M95" s="348" t="s">
        <v>196</v>
      </c>
      <c r="N95" s="348"/>
      <c r="O95" s="41"/>
      <c r="P95" s="41"/>
      <c r="Q95" s="41"/>
      <c r="R95" s="41"/>
      <c r="S95" s="40"/>
    </row>
    <row r="96" spans="1:19" ht="17.25" customHeight="1" x14ac:dyDescent="0.25">
      <c r="A96" s="340"/>
      <c r="B96" s="313" t="s">
        <v>183</v>
      </c>
      <c r="C96" s="311" t="s">
        <v>337</v>
      </c>
      <c r="D96" s="314"/>
      <c r="E96" s="314"/>
      <c r="F96" s="314"/>
      <c r="G96" s="315"/>
      <c r="H96" s="315"/>
      <c r="I96" s="318" t="s">
        <v>18</v>
      </c>
      <c r="J96" s="318"/>
      <c r="K96" s="318"/>
      <c r="L96" s="316">
        <v>37000</v>
      </c>
      <c r="M96" s="348" t="s">
        <v>196</v>
      </c>
      <c r="N96" s="348"/>
      <c r="O96" s="41"/>
      <c r="P96" s="41"/>
      <c r="Q96" s="41"/>
      <c r="R96" s="41"/>
      <c r="S96" s="40"/>
    </row>
    <row r="97" spans="1:23" ht="17.25" customHeight="1" x14ac:dyDescent="0.25">
      <c r="A97" s="340"/>
      <c r="B97" s="313" t="s">
        <v>225</v>
      </c>
      <c r="C97" s="311" t="s">
        <v>212</v>
      </c>
      <c r="D97" s="314"/>
      <c r="E97" s="314"/>
      <c r="F97" s="314"/>
      <c r="G97" s="315"/>
      <c r="H97" s="315"/>
      <c r="I97" s="318" t="s">
        <v>19</v>
      </c>
      <c r="J97" s="318"/>
      <c r="K97" s="318"/>
      <c r="L97" s="317">
        <v>34000</v>
      </c>
      <c r="M97" s="348" t="s">
        <v>196</v>
      </c>
      <c r="N97" s="348"/>
      <c r="O97" s="41"/>
      <c r="P97" s="41"/>
      <c r="Q97" s="41"/>
      <c r="R97" s="41"/>
      <c r="S97" s="40"/>
    </row>
    <row r="98" spans="1:23" ht="17.25" customHeight="1" x14ac:dyDescent="0.25">
      <c r="A98" s="340"/>
      <c r="B98" s="313" t="s">
        <v>248</v>
      </c>
      <c r="C98" s="311" t="s">
        <v>338</v>
      </c>
      <c r="D98" s="314"/>
      <c r="E98" s="314"/>
      <c r="F98" s="314"/>
      <c r="G98" s="315"/>
      <c r="H98" s="315"/>
      <c r="I98" s="318" t="s">
        <v>14</v>
      </c>
      <c r="J98" s="318"/>
      <c r="K98" s="318"/>
      <c r="L98" s="317">
        <v>26000</v>
      </c>
      <c r="M98" s="348" t="s">
        <v>196</v>
      </c>
      <c r="N98" s="348"/>
      <c r="O98" s="41"/>
      <c r="P98" s="41"/>
      <c r="Q98" s="41"/>
      <c r="R98" s="41"/>
      <c r="S98" s="40"/>
    </row>
    <row r="99" spans="1:23" ht="17.25" customHeight="1" x14ac:dyDescent="0.25">
      <c r="A99" s="340"/>
      <c r="B99" s="313" t="s">
        <v>249</v>
      </c>
      <c r="C99" s="311" t="s">
        <v>339</v>
      </c>
      <c r="D99" s="314"/>
      <c r="E99" s="314"/>
      <c r="F99" s="314"/>
      <c r="G99" s="315"/>
      <c r="H99" s="315"/>
      <c r="I99" s="318" t="s">
        <v>13</v>
      </c>
      <c r="J99" s="318"/>
      <c r="K99" s="318"/>
      <c r="L99" s="317">
        <v>-840000</v>
      </c>
      <c r="M99" s="348" t="s">
        <v>196</v>
      </c>
      <c r="N99" s="348"/>
      <c r="O99" s="41"/>
      <c r="P99" s="41"/>
      <c r="Q99" s="41"/>
      <c r="R99" s="41"/>
      <c r="S99" s="40"/>
    </row>
    <row r="100" spans="1:23" ht="17.25" hidden="1" customHeight="1" x14ac:dyDescent="0.25">
      <c r="A100" s="340"/>
      <c r="B100" s="313" t="s">
        <v>286</v>
      </c>
      <c r="C100" s="311"/>
      <c r="D100" s="314"/>
      <c r="E100" s="314"/>
      <c r="F100" s="314"/>
      <c r="G100" s="315"/>
      <c r="H100" s="315"/>
      <c r="I100" s="471"/>
      <c r="J100" s="471"/>
      <c r="K100" s="471"/>
      <c r="L100" s="317"/>
      <c r="M100" s="348"/>
      <c r="N100" s="348"/>
      <c r="O100" s="41"/>
      <c r="P100" s="41"/>
      <c r="Q100" s="41"/>
      <c r="R100" s="41"/>
      <c r="S100" s="40"/>
    </row>
    <row r="101" spans="1:23" ht="17.25" hidden="1" customHeight="1" x14ac:dyDescent="0.25">
      <c r="A101" s="340"/>
      <c r="B101" s="313" t="s">
        <v>287</v>
      </c>
      <c r="C101" s="311"/>
      <c r="D101" s="314"/>
      <c r="E101" s="314"/>
      <c r="F101" s="314"/>
      <c r="G101" s="315"/>
      <c r="H101" s="315"/>
      <c r="I101" s="471"/>
      <c r="J101" s="471"/>
      <c r="K101" s="471"/>
      <c r="L101" s="317"/>
      <c r="M101" s="348"/>
      <c r="N101" s="348"/>
      <c r="O101" s="41"/>
      <c r="P101" s="41"/>
      <c r="Q101" s="41"/>
      <c r="R101" s="41"/>
      <c r="S101" s="40"/>
    </row>
    <row r="102" spans="1:23" ht="17.25" hidden="1" customHeight="1" x14ac:dyDescent="0.25">
      <c r="A102" s="340"/>
      <c r="B102" s="313" t="s">
        <v>289</v>
      </c>
      <c r="C102" s="311"/>
      <c r="D102" s="314"/>
      <c r="E102" s="314"/>
      <c r="F102" s="314"/>
      <c r="G102" s="315"/>
      <c r="H102" s="315"/>
      <c r="I102" s="477"/>
      <c r="J102" s="477"/>
      <c r="K102" s="477"/>
      <c r="L102" s="317"/>
      <c r="M102" s="348"/>
      <c r="N102" s="348"/>
      <c r="O102" s="41"/>
      <c r="P102" s="41"/>
      <c r="Q102" s="41"/>
      <c r="R102" s="41"/>
      <c r="S102" s="40"/>
    </row>
    <row r="103" spans="1:23" ht="17.25" hidden="1" customHeight="1" x14ac:dyDescent="0.25">
      <c r="A103" s="340"/>
      <c r="B103" s="313" t="s">
        <v>290</v>
      </c>
      <c r="C103" s="311"/>
      <c r="D103" s="314"/>
      <c r="E103" s="314"/>
      <c r="F103" s="314"/>
      <c r="G103" s="315"/>
      <c r="H103" s="315"/>
      <c r="I103" s="477"/>
      <c r="J103" s="477"/>
      <c r="K103" s="477"/>
      <c r="L103" s="317"/>
      <c r="M103" s="348"/>
      <c r="N103" s="348"/>
      <c r="O103" s="41"/>
      <c r="P103" s="41"/>
      <c r="Q103" s="41"/>
      <c r="R103" s="41"/>
      <c r="S103" s="40"/>
    </row>
    <row r="104" spans="1:23" ht="17.25" customHeight="1" x14ac:dyDescent="0.25">
      <c r="B104" s="313"/>
      <c r="C104" s="382" t="str">
        <f>+"Total "&amp;B95</f>
        <v>Total Provincial Offences Division</v>
      </c>
      <c r="D104" s="314"/>
      <c r="E104" s="314"/>
      <c r="F104" s="314"/>
      <c r="G104" s="315"/>
      <c r="H104" s="315"/>
      <c r="I104" s="318"/>
      <c r="J104" s="318"/>
      <c r="K104" s="318"/>
      <c r="L104" s="476">
        <f>SUM(L96:L103)</f>
        <v>-743000</v>
      </c>
      <c r="O104" s="41"/>
      <c r="P104" s="41"/>
      <c r="Q104" s="41"/>
      <c r="R104" s="41"/>
      <c r="S104" s="40"/>
    </row>
    <row r="105" spans="1:23" ht="17.25" customHeight="1" x14ac:dyDescent="0.25">
      <c r="B105" s="55"/>
      <c r="C105" s="260"/>
      <c r="D105" s="297"/>
      <c r="E105" s="297"/>
      <c r="F105" s="297"/>
      <c r="G105" s="261"/>
      <c r="H105" s="261"/>
      <c r="I105" s="296"/>
      <c r="J105" s="296"/>
      <c r="K105" s="296"/>
      <c r="L105" s="220"/>
      <c r="O105" s="41"/>
      <c r="P105" s="41"/>
      <c r="Q105" s="41"/>
      <c r="R105" s="41"/>
      <c r="S105" s="40"/>
    </row>
    <row r="106" spans="1:23" ht="15" customHeight="1" thickBot="1" x14ac:dyDescent="0.3">
      <c r="B106" s="61" t="s">
        <v>184</v>
      </c>
      <c r="C106" s="56"/>
      <c r="D106" s="42"/>
      <c r="E106" s="42"/>
      <c r="F106" s="42"/>
      <c r="G106" s="57"/>
      <c r="H106" s="57"/>
      <c r="I106" s="188"/>
      <c r="J106" s="188"/>
      <c r="K106" s="188"/>
      <c r="L106" s="64">
        <f>L94+L104</f>
        <v>-1243000</v>
      </c>
      <c r="O106" s="41"/>
      <c r="P106" s="41"/>
      <c r="Q106" s="41"/>
      <c r="R106" s="41"/>
      <c r="S106" s="40"/>
    </row>
    <row r="107" spans="1:23" s="41" customFormat="1" ht="8.25" customHeight="1" thickTop="1" x14ac:dyDescent="0.25">
      <c r="A107" s="65"/>
      <c r="B107" s="200"/>
      <c r="C107" s="200"/>
      <c r="D107" s="200"/>
      <c r="E107" s="200"/>
      <c r="F107" s="200"/>
      <c r="G107" s="200"/>
      <c r="H107" s="200"/>
      <c r="I107" s="200"/>
      <c r="J107" s="67"/>
      <c r="K107" s="67"/>
      <c r="L107" s="47"/>
      <c r="M107" s="47"/>
      <c r="O107" s="43"/>
      <c r="W107" s="40"/>
    </row>
    <row r="108" spans="1:23" s="41" customFormat="1" ht="3.75" customHeight="1" x14ac:dyDescent="0.25">
      <c r="A108" s="39"/>
      <c r="B108" s="68"/>
      <c r="C108" s="68"/>
      <c r="D108" s="68"/>
      <c r="E108" s="68"/>
      <c r="F108" s="68"/>
      <c r="G108" s="68"/>
      <c r="H108" s="68"/>
      <c r="I108" s="68"/>
      <c r="J108" s="69"/>
      <c r="K108" s="69"/>
      <c r="O108" s="43"/>
      <c r="W108" s="40"/>
    </row>
    <row r="109" spans="1:23" ht="15" customHeight="1" x14ac:dyDescent="0.25">
      <c r="B109" s="6" t="s">
        <v>34</v>
      </c>
      <c r="C109" s="56"/>
      <c r="D109" s="42"/>
      <c r="E109" s="42"/>
      <c r="F109" s="42"/>
      <c r="G109" s="57"/>
      <c r="H109" s="57"/>
      <c r="I109" s="188"/>
      <c r="J109" s="188"/>
      <c r="K109" s="188"/>
      <c r="L109" s="59"/>
      <c r="O109" s="41"/>
      <c r="P109" s="41"/>
      <c r="Q109" s="41"/>
      <c r="R109" s="41"/>
      <c r="S109" s="40"/>
    </row>
    <row r="110" spans="1:23" ht="15" customHeight="1" x14ac:dyDescent="0.25">
      <c r="B110" s="572" t="s">
        <v>381</v>
      </c>
      <c r="C110" s="572"/>
      <c r="D110" s="572"/>
      <c r="E110" s="572"/>
      <c r="F110" s="572"/>
      <c r="G110" s="572"/>
      <c r="H110" s="572"/>
      <c r="I110" s="572"/>
      <c r="J110" s="572"/>
      <c r="K110" s="572"/>
      <c r="L110" s="572"/>
      <c r="O110" s="41"/>
      <c r="P110" s="41"/>
      <c r="Q110" s="41"/>
      <c r="R110" s="41"/>
      <c r="S110" s="40"/>
    </row>
    <row r="111" spans="1:23" ht="15" customHeight="1" x14ac:dyDescent="0.25">
      <c r="B111" s="572"/>
      <c r="C111" s="572"/>
      <c r="D111" s="572"/>
      <c r="E111" s="572"/>
      <c r="F111" s="572"/>
      <c r="G111" s="572"/>
      <c r="H111" s="572"/>
      <c r="I111" s="572"/>
      <c r="J111" s="572"/>
      <c r="K111" s="572"/>
      <c r="L111" s="572"/>
      <c r="O111" s="41"/>
      <c r="P111" s="41"/>
      <c r="Q111" s="41"/>
      <c r="R111" s="41"/>
      <c r="S111" s="40"/>
    </row>
    <row r="112" spans="1:23" ht="15" customHeight="1" x14ac:dyDescent="0.25">
      <c r="B112" s="572"/>
      <c r="C112" s="572"/>
      <c r="D112" s="572"/>
      <c r="E112" s="572"/>
      <c r="F112" s="572"/>
      <c r="G112" s="572"/>
      <c r="H112" s="572"/>
      <c r="I112" s="572"/>
      <c r="J112" s="572"/>
      <c r="K112" s="572"/>
      <c r="L112" s="572"/>
      <c r="O112" s="41"/>
      <c r="P112" s="41"/>
      <c r="Q112" s="41"/>
      <c r="R112" s="41"/>
      <c r="S112" s="40"/>
    </row>
    <row r="113" spans="1:23" ht="15" customHeight="1" x14ac:dyDescent="0.25">
      <c r="B113" s="572"/>
      <c r="C113" s="572"/>
      <c r="D113" s="572"/>
      <c r="E113" s="572"/>
      <c r="F113" s="572"/>
      <c r="G113" s="572"/>
      <c r="H113" s="572"/>
      <c r="I113" s="572"/>
      <c r="J113" s="572"/>
      <c r="K113" s="572"/>
      <c r="L113" s="572"/>
      <c r="O113" s="41"/>
      <c r="P113" s="41"/>
      <c r="Q113" s="41"/>
      <c r="R113" s="41"/>
      <c r="S113" s="40"/>
    </row>
    <row r="114" spans="1:23" ht="15" customHeight="1" x14ac:dyDescent="0.25">
      <c r="B114" s="572"/>
      <c r="C114" s="572"/>
      <c r="D114" s="572"/>
      <c r="E114" s="572"/>
      <c r="F114" s="572"/>
      <c r="G114" s="572"/>
      <c r="H114" s="572"/>
      <c r="I114" s="572"/>
      <c r="J114" s="572"/>
      <c r="K114" s="572"/>
      <c r="L114" s="572"/>
      <c r="O114" s="41"/>
      <c r="P114" s="41"/>
      <c r="Q114" s="41"/>
      <c r="R114" s="41"/>
      <c r="S114" s="40"/>
    </row>
    <row r="115" spans="1:23" ht="15" customHeight="1" x14ac:dyDescent="0.25">
      <c r="B115" s="572"/>
      <c r="C115" s="572"/>
      <c r="D115" s="572"/>
      <c r="E115" s="572"/>
      <c r="F115" s="572"/>
      <c r="G115" s="572"/>
      <c r="H115" s="572"/>
      <c r="I115" s="572"/>
      <c r="J115" s="572"/>
      <c r="K115" s="572"/>
      <c r="L115" s="572"/>
      <c r="O115" s="41"/>
      <c r="P115" s="41"/>
      <c r="Q115" s="41"/>
      <c r="R115" s="41"/>
      <c r="S115" s="40"/>
    </row>
    <row r="116" spans="1:23" ht="15" customHeight="1" x14ac:dyDescent="0.25">
      <c r="B116" s="572"/>
      <c r="C116" s="572"/>
      <c r="D116" s="572"/>
      <c r="E116" s="572"/>
      <c r="F116" s="572"/>
      <c r="G116" s="572"/>
      <c r="H116" s="572"/>
      <c r="I116" s="572"/>
      <c r="J116" s="572"/>
      <c r="K116" s="572"/>
      <c r="L116" s="572"/>
      <c r="O116" s="41"/>
      <c r="P116" s="41"/>
      <c r="Q116" s="41"/>
      <c r="R116" s="41"/>
      <c r="S116" s="40"/>
    </row>
    <row r="117" spans="1:23" ht="15" customHeight="1" x14ac:dyDescent="0.25">
      <c r="B117" s="572"/>
      <c r="C117" s="572"/>
      <c r="D117" s="572"/>
      <c r="E117" s="572"/>
      <c r="F117" s="572"/>
      <c r="G117" s="572"/>
      <c r="H117" s="572"/>
      <c r="I117" s="572"/>
      <c r="J117" s="572"/>
      <c r="K117" s="572"/>
      <c r="L117" s="572"/>
      <c r="O117" s="41"/>
      <c r="P117" s="41"/>
      <c r="Q117" s="41"/>
      <c r="R117" s="41"/>
      <c r="S117" s="40"/>
    </row>
    <row r="118" spans="1:23" ht="15" customHeight="1" x14ac:dyDescent="0.25">
      <c r="A118" s="191"/>
      <c r="B118" s="194"/>
      <c r="C118" s="195"/>
      <c r="D118" s="193"/>
      <c r="E118" s="193"/>
      <c r="F118" s="193"/>
      <c r="G118" s="196"/>
      <c r="H118" s="196"/>
      <c r="I118" s="197"/>
      <c r="J118" s="197"/>
      <c r="K118" s="197"/>
      <c r="L118" s="183"/>
      <c r="M118" s="191"/>
      <c r="O118" s="41"/>
      <c r="P118" s="41"/>
      <c r="Q118" s="41"/>
      <c r="R118" s="41"/>
      <c r="S118" s="40"/>
    </row>
    <row r="119" spans="1:23" ht="15" customHeight="1" x14ac:dyDescent="0.25">
      <c r="A119" s="115"/>
      <c r="B119" s="115"/>
      <c r="C119" s="62"/>
      <c r="D119" s="62"/>
      <c r="E119" s="52"/>
      <c r="F119" s="52"/>
      <c r="G119" s="63"/>
      <c r="H119" s="176"/>
      <c r="I119" s="63"/>
      <c r="J119" s="52"/>
      <c r="K119" s="62"/>
      <c r="L119" s="115"/>
      <c r="M119" s="115"/>
      <c r="O119" s="41"/>
      <c r="P119" s="41"/>
      <c r="Q119" s="41"/>
      <c r="R119" s="41"/>
      <c r="S119" s="40"/>
    </row>
    <row r="120" spans="1:23" s="41" customFormat="1" ht="3.75" customHeight="1" x14ac:dyDescent="0.25">
      <c r="A120" s="39"/>
      <c r="B120" s="68"/>
      <c r="C120" s="68"/>
      <c r="D120" s="68"/>
      <c r="E120" s="68"/>
      <c r="F120" s="68"/>
      <c r="G120" s="68"/>
      <c r="H120" s="68"/>
      <c r="I120" s="68"/>
      <c r="J120" s="69"/>
      <c r="K120" s="69"/>
      <c r="O120" s="43"/>
      <c r="W120" s="40"/>
    </row>
    <row r="121" spans="1:23" s="41" customFormat="1" ht="13.8" x14ac:dyDescent="0.25">
      <c r="A121" s="43"/>
      <c r="C121" s="70"/>
      <c r="D121" s="70"/>
      <c r="E121" s="70"/>
      <c r="F121" s="70"/>
      <c r="G121" s="70"/>
      <c r="H121" s="70"/>
      <c r="I121" s="70"/>
      <c r="J121" s="171"/>
      <c r="K121" s="171"/>
      <c r="O121" s="43"/>
      <c r="W121" s="40"/>
    </row>
    <row r="122" spans="1:23" s="41" customFormat="1" ht="15" customHeight="1" x14ac:dyDescent="0.25">
      <c r="A122" s="43"/>
      <c r="B122" s="576"/>
      <c r="C122" s="576"/>
      <c r="D122" s="576"/>
      <c r="E122" s="576"/>
      <c r="F122" s="576"/>
      <c r="G122" s="576"/>
      <c r="H122" s="576"/>
      <c r="I122" s="576"/>
      <c r="J122" s="576"/>
      <c r="K122" s="576"/>
      <c r="L122" s="576"/>
      <c r="O122" s="43"/>
      <c r="W122" s="40"/>
    </row>
    <row r="123" spans="1:23" ht="13.8" x14ac:dyDescent="0.25">
      <c r="B123" s="576"/>
      <c r="C123" s="576"/>
      <c r="D123" s="576"/>
      <c r="E123" s="576"/>
      <c r="F123" s="576"/>
      <c r="G123" s="576"/>
      <c r="H123" s="576"/>
      <c r="I123" s="576"/>
      <c r="J123" s="576"/>
      <c r="K123" s="576"/>
      <c r="L123" s="576"/>
      <c r="M123" s="41"/>
      <c r="N123" s="41"/>
      <c r="O123" s="43"/>
      <c r="P123" s="41"/>
      <c r="Q123" s="41"/>
      <c r="R123" s="41"/>
      <c r="S123" s="40"/>
    </row>
    <row r="124" spans="1:23" s="62" customFormat="1" ht="8.25" customHeight="1" x14ac:dyDescent="0.25">
      <c r="A124" s="60"/>
      <c r="B124" s="189"/>
      <c r="C124" s="189"/>
      <c r="D124" s="189"/>
      <c r="E124" s="189"/>
      <c r="F124" s="189"/>
      <c r="G124" s="189"/>
      <c r="H124" s="189"/>
      <c r="I124" s="189"/>
      <c r="J124" s="179"/>
      <c r="K124" s="179"/>
      <c r="L124" s="176"/>
      <c r="M124" s="176"/>
      <c r="O124" s="60"/>
      <c r="W124" s="59"/>
    </row>
  </sheetData>
  <mergeCells count="9">
    <mergeCell ref="B23:L83"/>
    <mergeCell ref="B122:L123"/>
    <mergeCell ref="I87:K87"/>
    <mergeCell ref="I89:K89"/>
    <mergeCell ref="I90:K90"/>
    <mergeCell ref="I91:K91"/>
    <mergeCell ref="I92:K92"/>
    <mergeCell ref="B110:L117"/>
    <mergeCell ref="I93:K93"/>
  </mergeCells>
  <dataValidations count="2">
    <dataValidation type="list" allowBlank="1" showInputMessage="1" showErrorMessage="1" sqref="I118:K118 I87:K109">
      <formula1>$O$3:$O$21</formula1>
    </dataValidation>
    <dataValidation type="list" allowBlank="1" showInputMessage="1" showErrorMessage="1" sqref="G118 G87:G109">
      <formula1>$O$17:$O$19</formula1>
    </dataValidation>
  </dataValidations>
  <printOptions horizontalCentered="1"/>
  <pageMargins left="0.19685039370078741" right="0.19685039370078741" top="0.55118110236220474" bottom="0.43307086614173229" header="0.23622047244094491" footer="0.23622047244094491"/>
  <pageSetup scale="85"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95"/>
  <sheetViews>
    <sheetView topLeftCell="A23"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163</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34465658</v>
      </c>
      <c r="F5" s="18">
        <v>35775103</v>
      </c>
      <c r="G5" s="18">
        <v>40204700</v>
      </c>
      <c r="I5" s="86" t="s">
        <v>38</v>
      </c>
      <c r="J5" s="73"/>
      <c r="K5" s="73"/>
      <c r="L5" s="73">
        <v>200000</v>
      </c>
      <c r="O5" s="15" t="s">
        <v>4</v>
      </c>
      <c r="S5" s="10">
        <f t="shared" si="0"/>
        <v>-50000</v>
      </c>
    </row>
    <row r="6" spans="1:19" x14ac:dyDescent="0.25">
      <c r="B6" s="16" t="s">
        <v>7</v>
      </c>
      <c r="C6" s="17"/>
      <c r="D6" s="12"/>
      <c r="E6" s="18">
        <v>33813373</v>
      </c>
      <c r="F6" s="18">
        <v>35133818</v>
      </c>
      <c r="G6" s="18">
        <f>+G5-791880</f>
        <v>39412820</v>
      </c>
      <c r="I6" s="87" t="s">
        <v>39</v>
      </c>
      <c r="J6" s="18">
        <v>10000</v>
      </c>
      <c r="K6" s="18">
        <v>60000</v>
      </c>
      <c r="L6" s="18">
        <v>0</v>
      </c>
      <c r="O6" s="15" t="s">
        <v>6</v>
      </c>
      <c r="S6" s="10">
        <f t="shared" si="0"/>
        <v>0</v>
      </c>
    </row>
    <row r="7" spans="1:19" x14ac:dyDescent="0.25">
      <c r="B7" s="21" t="s">
        <v>9</v>
      </c>
      <c r="C7" s="22"/>
      <c r="D7" s="23"/>
      <c r="E7" s="24">
        <v>33698435</v>
      </c>
      <c r="F7" s="24">
        <v>35278402</v>
      </c>
      <c r="G7" s="24">
        <f>G6-L6</f>
        <v>39412820</v>
      </c>
      <c r="I7" s="87" t="s">
        <v>40</v>
      </c>
      <c r="J7" s="18">
        <v>134000</v>
      </c>
      <c r="K7" s="18">
        <v>-45000</v>
      </c>
      <c r="L7" s="18">
        <f>+L87</f>
        <v>-440000</v>
      </c>
      <c r="O7" s="15" t="s">
        <v>8</v>
      </c>
      <c r="P7" s="20"/>
      <c r="S7" s="10">
        <f t="shared" si="0"/>
        <v>0</v>
      </c>
    </row>
    <row r="8" spans="1:19" x14ac:dyDescent="0.25">
      <c r="B8" s="26" t="s">
        <v>11</v>
      </c>
      <c r="C8" s="27"/>
      <c r="D8" s="28"/>
      <c r="E8" s="29">
        <v>114938</v>
      </c>
      <c r="F8" s="29">
        <v>-144584</v>
      </c>
      <c r="G8" s="29">
        <f>G6-G7</f>
        <v>0</v>
      </c>
      <c r="I8" s="88" t="s">
        <v>43</v>
      </c>
      <c r="J8" s="74">
        <f>E8</f>
        <v>114938</v>
      </c>
      <c r="K8" s="74">
        <f>F8</f>
        <v>-144584</v>
      </c>
      <c r="L8" s="74"/>
      <c r="O8" s="15" t="s">
        <v>10</v>
      </c>
      <c r="P8" s="25"/>
      <c r="S8" s="10">
        <f t="shared" si="0"/>
        <v>0</v>
      </c>
    </row>
    <row r="9" spans="1:19" x14ac:dyDescent="0.25">
      <c r="B9" s="32" t="s">
        <v>37</v>
      </c>
      <c r="C9" s="33"/>
      <c r="D9" s="23"/>
      <c r="E9" s="34">
        <f>IF(ISERROR(IF(E8=0,"",(E8/$E$5))),"",(IF(E8=0,"",(E8/$E$5))))</f>
        <v>3.334855815026076E-3</v>
      </c>
      <c r="F9" s="34">
        <f>IF(ISERROR(IF(F8=0,"",(F8/$F$5))),"",(IF(F8=0,"",(F8/$F$5))))</f>
        <v>-4.0414698456633378E-3</v>
      </c>
      <c r="G9" s="34" t="str">
        <f>IF(ISERROR(IF(G8=0,"",(G8/$G$5))),"",(IF(G8=0,"",(G8/$G$5))))</f>
        <v/>
      </c>
      <c r="I9" s="83" t="s">
        <v>42</v>
      </c>
      <c r="O9" s="15" t="s">
        <v>12</v>
      </c>
      <c r="P9" s="30"/>
      <c r="Q9" s="19"/>
      <c r="R9" s="31"/>
      <c r="S9" s="10">
        <f t="shared" si="0"/>
        <v>0</v>
      </c>
    </row>
    <row r="10" spans="1:19" x14ac:dyDescent="0.25">
      <c r="O10" s="15" t="s">
        <v>13</v>
      </c>
      <c r="P10" s="35"/>
      <c r="Q10" s="19"/>
      <c r="S10" s="10">
        <f t="shared" si="0"/>
        <v>-60000</v>
      </c>
    </row>
    <row r="11" spans="1:19" x14ac:dyDescent="0.25">
      <c r="O11" s="15" t="s">
        <v>14</v>
      </c>
      <c r="P11" s="36"/>
      <c r="Q11" s="36"/>
      <c r="S11" s="10">
        <f t="shared" si="0"/>
        <v>0</v>
      </c>
    </row>
    <row r="12" spans="1:19" x14ac:dyDescent="0.25">
      <c r="O12" s="15" t="s">
        <v>15</v>
      </c>
      <c r="P12" s="36"/>
      <c r="Q12" s="36"/>
      <c r="S12" s="10">
        <f t="shared" si="0"/>
        <v>-20000</v>
      </c>
    </row>
    <row r="13" spans="1:19" x14ac:dyDescent="0.25">
      <c r="O13" s="15" t="s">
        <v>16</v>
      </c>
      <c r="P13" s="36"/>
      <c r="Q13" s="36"/>
      <c r="S13" s="10">
        <f t="shared" si="0"/>
        <v>0</v>
      </c>
    </row>
    <row r="14" spans="1:19" x14ac:dyDescent="0.25">
      <c r="O14" s="15" t="s">
        <v>17</v>
      </c>
      <c r="P14" s="36"/>
      <c r="Q14" s="36"/>
      <c r="S14" s="10">
        <f t="shared" si="0"/>
        <v>-35000</v>
      </c>
    </row>
    <row r="15" spans="1:19" x14ac:dyDescent="0.25">
      <c r="O15" s="15" t="s">
        <v>18</v>
      </c>
      <c r="P15" s="36"/>
      <c r="Q15" s="36"/>
      <c r="S15" s="10">
        <f t="shared" si="0"/>
        <v>45000</v>
      </c>
    </row>
    <row r="16" spans="1:19" x14ac:dyDescent="0.25">
      <c r="O16" s="15" t="s">
        <v>19</v>
      </c>
      <c r="P16" s="36"/>
      <c r="Q16" s="36"/>
      <c r="S16" s="10">
        <f t="shared" si="0"/>
        <v>-320000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-440000</v>
      </c>
    </row>
    <row r="23" spans="1:19" s="41" customFormat="1" ht="15" customHeight="1" x14ac:dyDescent="0.25">
      <c r="A23" s="39"/>
      <c r="B23" s="571" t="s">
        <v>414</v>
      </c>
      <c r="C23" s="571"/>
      <c r="D23" s="571"/>
      <c r="E23" s="571"/>
      <c r="F23" s="571"/>
      <c r="G23" s="571"/>
      <c r="H23" s="571"/>
      <c r="I23" s="571"/>
      <c r="J23" s="571"/>
      <c r="K23" s="571"/>
      <c r="L23" s="571"/>
      <c r="M23" s="571"/>
      <c r="O23" s="15"/>
      <c r="P23" s="12"/>
      <c r="Q23" s="12"/>
      <c r="R23" s="12"/>
      <c r="S23" s="10"/>
    </row>
    <row r="24" spans="1:19" s="41" customFormat="1" ht="13.8" x14ac:dyDescent="0.25">
      <c r="A24" s="39"/>
      <c r="B24" s="571"/>
      <c r="C24" s="571"/>
      <c r="D24" s="571"/>
      <c r="E24" s="571"/>
      <c r="F24" s="571"/>
      <c r="G24" s="571"/>
      <c r="H24" s="571"/>
      <c r="I24" s="571"/>
      <c r="J24" s="571"/>
      <c r="K24" s="571"/>
      <c r="L24" s="571"/>
      <c r="M24" s="571"/>
      <c r="O24" s="15"/>
      <c r="P24" s="12"/>
      <c r="Q24" s="12"/>
      <c r="R24" s="12"/>
      <c r="S24" s="10"/>
    </row>
    <row r="25" spans="1:19" s="41" customFormat="1" ht="13.8" x14ac:dyDescent="0.25">
      <c r="A25" s="39"/>
      <c r="B25" s="571"/>
      <c r="C25" s="571"/>
      <c r="D25" s="571"/>
      <c r="E25" s="571"/>
      <c r="F25" s="571"/>
      <c r="G25" s="571"/>
      <c r="H25" s="571"/>
      <c r="I25" s="571"/>
      <c r="J25" s="571"/>
      <c r="K25" s="571"/>
      <c r="L25" s="571"/>
      <c r="M25" s="571"/>
      <c r="O25" s="15"/>
      <c r="P25" s="12"/>
      <c r="Q25" s="12"/>
      <c r="R25" s="12"/>
      <c r="S25" s="10"/>
    </row>
    <row r="26" spans="1:19" s="41" customFormat="1" ht="13.8" x14ac:dyDescent="0.25">
      <c r="A26" s="39"/>
      <c r="B26" s="571"/>
      <c r="C26" s="571"/>
      <c r="D26" s="571"/>
      <c r="E26" s="571"/>
      <c r="F26" s="571"/>
      <c r="G26" s="571"/>
      <c r="H26" s="571"/>
      <c r="I26" s="571"/>
      <c r="J26" s="571"/>
      <c r="K26" s="571"/>
      <c r="L26" s="571"/>
      <c r="M26" s="571"/>
      <c r="O26" s="15"/>
      <c r="P26" s="12"/>
      <c r="Q26" s="12"/>
      <c r="R26" s="12"/>
      <c r="S26" s="10"/>
    </row>
    <row r="27" spans="1:19" s="41" customFormat="1" ht="13.8" x14ac:dyDescent="0.25">
      <c r="A27" s="39"/>
      <c r="B27" s="571"/>
      <c r="C27" s="571"/>
      <c r="D27" s="571"/>
      <c r="E27" s="571"/>
      <c r="F27" s="571"/>
      <c r="G27" s="571"/>
      <c r="H27" s="571"/>
      <c r="I27" s="571"/>
      <c r="J27" s="571"/>
      <c r="K27" s="571"/>
      <c r="L27" s="571"/>
      <c r="M27" s="571"/>
      <c r="O27" s="15"/>
      <c r="P27" s="12"/>
      <c r="Q27" s="12"/>
      <c r="R27" s="12"/>
      <c r="S27" s="10"/>
    </row>
    <row r="28" spans="1:19" s="41" customFormat="1" ht="13.8" x14ac:dyDescent="0.25">
      <c r="A28" s="39"/>
      <c r="B28" s="571"/>
      <c r="C28" s="571"/>
      <c r="D28" s="571"/>
      <c r="E28" s="571"/>
      <c r="F28" s="571"/>
      <c r="G28" s="571"/>
      <c r="H28" s="571"/>
      <c r="I28" s="571"/>
      <c r="J28" s="571"/>
      <c r="K28" s="571"/>
      <c r="L28" s="571"/>
      <c r="M28" s="571"/>
      <c r="O28" s="15"/>
      <c r="P28" s="12"/>
      <c r="Q28" s="12"/>
      <c r="R28" s="12"/>
      <c r="S28" s="10"/>
    </row>
    <row r="29" spans="1:19" s="41" customFormat="1" ht="13.8" x14ac:dyDescent="0.25">
      <c r="B29" s="571"/>
      <c r="C29" s="571"/>
      <c r="D29" s="571"/>
      <c r="E29" s="571"/>
      <c r="F29" s="571"/>
      <c r="G29" s="571"/>
      <c r="H29" s="571"/>
      <c r="I29" s="571"/>
      <c r="J29" s="571"/>
      <c r="K29" s="571"/>
      <c r="L29" s="571"/>
      <c r="M29" s="571"/>
      <c r="O29" s="15"/>
      <c r="P29" s="12"/>
      <c r="Q29" s="12"/>
      <c r="R29" s="12"/>
      <c r="S29" s="10"/>
    </row>
    <row r="30" spans="1:19" s="41" customFormat="1" ht="15.75" customHeight="1" x14ac:dyDescent="0.25">
      <c r="A30" s="39"/>
      <c r="B30" s="571"/>
      <c r="C30" s="571"/>
      <c r="D30" s="571"/>
      <c r="E30" s="571"/>
      <c r="F30" s="571"/>
      <c r="G30" s="571"/>
      <c r="H30" s="571"/>
      <c r="I30" s="571"/>
      <c r="J30" s="571"/>
      <c r="K30" s="571"/>
      <c r="L30" s="571"/>
      <c r="M30" s="571"/>
      <c r="O30" s="15"/>
      <c r="P30" s="12"/>
      <c r="Q30" s="12"/>
      <c r="R30" s="12"/>
      <c r="S30" s="10"/>
    </row>
    <row r="31" spans="1:19" s="41" customFormat="1" ht="15.75" customHeight="1" x14ac:dyDescent="0.25">
      <c r="A31" s="39"/>
      <c r="B31" s="571"/>
      <c r="C31" s="571"/>
      <c r="D31" s="571"/>
      <c r="E31" s="571"/>
      <c r="F31" s="571"/>
      <c r="G31" s="571"/>
      <c r="H31" s="571"/>
      <c r="I31" s="571"/>
      <c r="J31" s="571"/>
      <c r="K31" s="571"/>
      <c r="L31" s="571"/>
      <c r="M31" s="571"/>
      <c r="O31" s="15"/>
      <c r="P31" s="12"/>
      <c r="Q31" s="12"/>
      <c r="R31" s="12"/>
      <c r="S31" s="10"/>
    </row>
    <row r="32" spans="1:19" s="41" customFormat="1" ht="15.75" customHeight="1" x14ac:dyDescent="0.25">
      <c r="A32" s="39"/>
      <c r="B32" s="571"/>
      <c r="C32" s="571"/>
      <c r="D32" s="571"/>
      <c r="E32" s="571"/>
      <c r="F32" s="571"/>
      <c r="G32" s="571"/>
      <c r="H32" s="571"/>
      <c r="I32" s="571"/>
      <c r="J32" s="571"/>
      <c r="K32" s="571"/>
      <c r="L32" s="571"/>
      <c r="M32" s="571"/>
      <c r="O32" s="15"/>
      <c r="P32" s="12"/>
      <c r="Q32" s="12"/>
      <c r="R32" s="12"/>
      <c r="S32" s="10"/>
    </row>
    <row r="33" spans="1:19" s="41" customFormat="1" ht="15.75" customHeight="1" x14ac:dyDescent="0.25">
      <c r="A33" s="39"/>
      <c r="B33" s="571"/>
      <c r="C33" s="571"/>
      <c r="D33" s="571"/>
      <c r="E33" s="571"/>
      <c r="F33" s="571"/>
      <c r="G33" s="571"/>
      <c r="H33" s="571"/>
      <c r="I33" s="571"/>
      <c r="J33" s="571"/>
      <c r="K33" s="571"/>
      <c r="L33" s="571"/>
      <c r="M33" s="571"/>
      <c r="O33" s="15"/>
      <c r="P33" s="12"/>
      <c r="Q33" s="12"/>
      <c r="R33" s="12"/>
      <c r="S33" s="10"/>
    </row>
    <row r="34" spans="1:19" s="41" customFormat="1" ht="15.75" customHeight="1" x14ac:dyDescent="0.25">
      <c r="A34" s="39"/>
      <c r="B34" s="571"/>
      <c r="C34" s="571"/>
      <c r="D34" s="571"/>
      <c r="E34" s="571"/>
      <c r="F34" s="571"/>
      <c r="G34" s="571"/>
      <c r="H34" s="571"/>
      <c r="I34" s="571"/>
      <c r="J34" s="571"/>
      <c r="K34" s="571"/>
      <c r="L34" s="571"/>
      <c r="M34" s="571"/>
      <c r="O34" s="15"/>
      <c r="P34" s="12"/>
      <c r="Q34" s="12"/>
      <c r="R34" s="12"/>
      <c r="S34" s="10"/>
    </row>
    <row r="35" spans="1:19" s="41" customFormat="1" ht="15.75" customHeight="1" x14ac:dyDescent="0.25">
      <c r="A35" s="39"/>
      <c r="B35" s="571"/>
      <c r="C35" s="571"/>
      <c r="D35" s="571"/>
      <c r="E35" s="571"/>
      <c r="F35" s="571"/>
      <c r="G35" s="571"/>
      <c r="H35" s="571"/>
      <c r="I35" s="571"/>
      <c r="J35" s="571"/>
      <c r="K35" s="571"/>
      <c r="L35" s="571"/>
      <c r="M35" s="571"/>
      <c r="O35" s="15"/>
      <c r="P35" s="12"/>
      <c r="Q35" s="12"/>
      <c r="R35" s="12"/>
      <c r="S35" s="10"/>
    </row>
    <row r="36" spans="1:19" s="41" customFormat="1" ht="15.75" customHeight="1" x14ac:dyDescent="0.25">
      <c r="A36" s="39"/>
      <c r="B36" s="571"/>
      <c r="C36" s="571"/>
      <c r="D36" s="571"/>
      <c r="E36" s="571"/>
      <c r="F36" s="571"/>
      <c r="G36" s="571"/>
      <c r="H36" s="571"/>
      <c r="I36" s="571"/>
      <c r="J36" s="571"/>
      <c r="K36" s="571"/>
      <c r="L36" s="571"/>
      <c r="M36" s="571"/>
      <c r="O36" s="15"/>
      <c r="P36" s="12"/>
      <c r="Q36" s="12"/>
      <c r="R36" s="12"/>
      <c r="S36" s="10"/>
    </row>
    <row r="37" spans="1:19" s="41" customFormat="1" ht="15.75" customHeight="1" x14ac:dyDescent="0.25">
      <c r="A37" s="39"/>
      <c r="B37" s="571"/>
      <c r="C37" s="571"/>
      <c r="D37" s="571"/>
      <c r="E37" s="571"/>
      <c r="F37" s="571"/>
      <c r="G37" s="571"/>
      <c r="H37" s="571"/>
      <c r="I37" s="571"/>
      <c r="J37" s="571"/>
      <c r="K37" s="571"/>
      <c r="L37" s="571"/>
      <c r="M37" s="571"/>
      <c r="O37" s="15"/>
      <c r="P37" s="12"/>
      <c r="Q37" s="12"/>
      <c r="R37" s="12"/>
      <c r="S37" s="10"/>
    </row>
    <row r="38" spans="1:19" s="41" customFormat="1" ht="15.75" customHeight="1" x14ac:dyDescent="0.25">
      <c r="A38" s="39"/>
      <c r="B38" s="571"/>
      <c r="C38" s="571"/>
      <c r="D38" s="571"/>
      <c r="E38" s="571"/>
      <c r="F38" s="571"/>
      <c r="G38" s="571"/>
      <c r="H38" s="571"/>
      <c r="I38" s="571"/>
      <c r="J38" s="571"/>
      <c r="K38" s="571"/>
      <c r="L38" s="571"/>
      <c r="M38" s="571"/>
      <c r="O38" s="15"/>
      <c r="P38" s="12"/>
      <c r="Q38" s="12"/>
      <c r="R38" s="12"/>
      <c r="S38" s="10"/>
    </row>
    <row r="39" spans="1:19" s="41" customFormat="1" ht="15.75" customHeight="1" x14ac:dyDescent="0.25">
      <c r="A39" s="39"/>
      <c r="B39" s="571"/>
      <c r="C39" s="571"/>
      <c r="D39" s="571"/>
      <c r="E39" s="571"/>
      <c r="F39" s="571"/>
      <c r="G39" s="571"/>
      <c r="H39" s="571"/>
      <c r="I39" s="571"/>
      <c r="J39" s="571"/>
      <c r="K39" s="571"/>
      <c r="L39" s="571"/>
      <c r="M39" s="571"/>
      <c r="O39" s="15"/>
      <c r="P39" s="12"/>
      <c r="Q39" s="12"/>
      <c r="R39" s="12"/>
      <c r="S39" s="10"/>
    </row>
    <row r="40" spans="1:19" s="41" customFormat="1" ht="15.75" customHeight="1" x14ac:dyDescent="0.25">
      <c r="A40" s="39"/>
      <c r="B40" s="571"/>
      <c r="C40" s="571"/>
      <c r="D40" s="571"/>
      <c r="E40" s="571"/>
      <c r="F40" s="571"/>
      <c r="G40" s="571"/>
      <c r="H40" s="571"/>
      <c r="I40" s="571"/>
      <c r="J40" s="571"/>
      <c r="K40" s="571"/>
      <c r="L40" s="571"/>
      <c r="M40" s="571"/>
      <c r="O40" s="15"/>
      <c r="P40" s="12"/>
      <c r="Q40" s="12"/>
      <c r="R40" s="12"/>
      <c r="S40" s="10"/>
    </row>
    <row r="41" spans="1:19" s="41" customFormat="1" ht="15.75" customHeight="1" x14ac:dyDescent="0.25">
      <c r="A41" s="39"/>
      <c r="B41" s="571"/>
      <c r="C41" s="571"/>
      <c r="D41" s="571"/>
      <c r="E41" s="571"/>
      <c r="F41" s="571"/>
      <c r="G41" s="571"/>
      <c r="H41" s="571"/>
      <c r="I41" s="571"/>
      <c r="J41" s="571"/>
      <c r="K41" s="571"/>
      <c r="L41" s="571"/>
      <c r="M41" s="571"/>
      <c r="O41" s="15"/>
      <c r="P41" s="12"/>
      <c r="Q41" s="12"/>
      <c r="R41" s="12"/>
      <c r="S41" s="10"/>
    </row>
    <row r="42" spans="1:19" s="41" customFormat="1" ht="15.75" customHeight="1" x14ac:dyDescent="0.25">
      <c r="A42" s="39"/>
      <c r="B42" s="571"/>
      <c r="C42" s="571"/>
      <c r="D42" s="571"/>
      <c r="E42" s="571"/>
      <c r="F42" s="571"/>
      <c r="G42" s="571"/>
      <c r="H42" s="571"/>
      <c r="I42" s="571"/>
      <c r="J42" s="571"/>
      <c r="K42" s="571"/>
      <c r="L42" s="571"/>
      <c r="M42" s="571"/>
      <c r="O42" s="15"/>
      <c r="P42" s="12"/>
      <c r="Q42" s="12"/>
      <c r="R42" s="12"/>
      <c r="S42" s="10"/>
    </row>
    <row r="43" spans="1:19" s="41" customFormat="1" ht="15.75" customHeight="1" x14ac:dyDescent="0.25">
      <c r="A43" s="39"/>
      <c r="B43" s="571"/>
      <c r="C43" s="571"/>
      <c r="D43" s="571"/>
      <c r="E43" s="571"/>
      <c r="F43" s="571"/>
      <c r="G43" s="571"/>
      <c r="H43" s="571"/>
      <c r="I43" s="571"/>
      <c r="J43" s="571"/>
      <c r="K43" s="571"/>
      <c r="L43" s="571"/>
      <c r="M43" s="571"/>
      <c r="O43" s="15"/>
      <c r="P43" s="12"/>
      <c r="Q43" s="12"/>
      <c r="R43" s="12"/>
      <c r="S43" s="10"/>
    </row>
    <row r="44" spans="1:19" s="41" customFormat="1" ht="15.75" customHeight="1" x14ac:dyDescent="0.25">
      <c r="A44" s="39"/>
      <c r="B44" s="571"/>
      <c r="C44" s="571"/>
      <c r="D44" s="571"/>
      <c r="E44" s="571"/>
      <c r="F44" s="571"/>
      <c r="G44" s="571"/>
      <c r="H44" s="571"/>
      <c r="I44" s="571"/>
      <c r="J44" s="571"/>
      <c r="K44" s="571"/>
      <c r="L44" s="571"/>
      <c r="M44" s="571"/>
      <c r="O44" s="15"/>
      <c r="P44" s="12"/>
      <c r="Q44" s="12"/>
      <c r="R44" s="12"/>
      <c r="S44" s="10"/>
    </row>
    <row r="45" spans="1:19" s="41" customFormat="1" ht="15.75" customHeight="1" x14ac:dyDescent="0.25">
      <c r="A45" s="39"/>
      <c r="B45" s="571"/>
      <c r="C45" s="571"/>
      <c r="D45" s="571"/>
      <c r="E45" s="571"/>
      <c r="F45" s="571"/>
      <c r="G45" s="571"/>
      <c r="H45" s="571"/>
      <c r="I45" s="571"/>
      <c r="J45" s="571"/>
      <c r="K45" s="571"/>
      <c r="L45" s="571"/>
      <c r="M45" s="571"/>
      <c r="O45" s="15"/>
      <c r="P45" s="12"/>
      <c r="Q45" s="12"/>
      <c r="R45" s="12"/>
      <c r="S45" s="10"/>
    </row>
    <row r="46" spans="1:19" s="41" customFormat="1" ht="15.75" customHeight="1" x14ac:dyDescent="0.25">
      <c r="A46" s="39"/>
      <c r="B46" s="571"/>
      <c r="C46" s="571"/>
      <c r="D46" s="571"/>
      <c r="E46" s="571"/>
      <c r="F46" s="571"/>
      <c r="G46" s="571"/>
      <c r="H46" s="571"/>
      <c r="I46" s="571"/>
      <c r="J46" s="571"/>
      <c r="K46" s="571"/>
      <c r="L46" s="571"/>
      <c r="M46" s="571"/>
      <c r="O46" s="15"/>
      <c r="P46" s="12"/>
      <c r="Q46" s="12"/>
      <c r="R46" s="12"/>
      <c r="S46" s="10"/>
    </row>
    <row r="47" spans="1:19" s="41" customFormat="1" ht="15.75" customHeight="1" x14ac:dyDescent="0.25">
      <c r="A47" s="39"/>
      <c r="B47" s="571"/>
      <c r="C47" s="571"/>
      <c r="D47" s="571"/>
      <c r="E47" s="571"/>
      <c r="F47" s="571"/>
      <c r="G47" s="571"/>
      <c r="H47" s="571"/>
      <c r="I47" s="571"/>
      <c r="J47" s="571"/>
      <c r="K47" s="571"/>
      <c r="L47" s="571"/>
      <c r="M47" s="571"/>
      <c r="O47" s="15"/>
      <c r="P47" s="12"/>
      <c r="Q47" s="12"/>
      <c r="R47" s="12"/>
      <c r="S47" s="10"/>
    </row>
    <row r="48" spans="1:19" s="41" customFormat="1" ht="15.75" customHeight="1" x14ac:dyDescent="0.25">
      <c r="A48" s="39"/>
      <c r="B48" s="571"/>
      <c r="C48" s="571"/>
      <c r="D48" s="571"/>
      <c r="E48" s="571"/>
      <c r="F48" s="571"/>
      <c r="G48" s="571"/>
      <c r="H48" s="571"/>
      <c r="I48" s="571"/>
      <c r="J48" s="571"/>
      <c r="K48" s="571"/>
      <c r="L48" s="571"/>
      <c r="M48" s="571"/>
      <c r="O48" s="15"/>
      <c r="P48" s="12"/>
      <c r="Q48" s="12"/>
      <c r="R48" s="12"/>
      <c r="S48" s="10"/>
    </row>
    <row r="49" spans="1:19" s="41" customFormat="1" ht="15.75" customHeight="1" x14ac:dyDescent="0.25">
      <c r="A49" s="39"/>
      <c r="B49" s="571"/>
      <c r="C49" s="571"/>
      <c r="D49" s="571"/>
      <c r="E49" s="571"/>
      <c r="F49" s="571"/>
      <c r="G49" s="571"/>
      <c r="H49" s="571"/>
      <c r="I49" s="571"/>
      <c r="J49" s="571"/>
      <c r="K49" s="571"/>
      <c r="L49" s="571"/>
      <c r="M49" s="571"/>
      <c r="O49" s="15"/>
      <c r="P49" s="12"/>
      <c r="Q49" s="12"/>
      <c r="R49" s="12"/>
      <c r="S49" s="10"/>
    </row>
    <row r="50" spans="1:19" s="41" customFormat="1" ht="15.75" customHeight="1" x14ac:dyDescent="0.25">
      <c r="A50" s="39"/>
      <c r="B50" s="571"/>
      <c r="C50" s="571"/>
      <c r="D50" s="571"/>
      <c r="E50" s="571"/>
      <c r="F50" s="571"/>
      <c r="G50" s="571"/>
      <c r="H50" s="571"/>
      <c r="I50" s="571"/>
      <c r="J50" s="571"/>
      <c r="K50" s="571"/>
      <c r="L50" s="571"/>
      <c r="M50" s="571"/>
      <c r="O50" s="15"/>
      <c r="P50" s="12"/>
      <c r="Q50" s="12"/>
      <c r="R50" s="12"/>
      <c r="S50" s="10"/>
    </row>
    <row r="51" spans="1:19" s="41" customFormat="1" ht="15.75" customHeight="1" x14ac:dyDescent="0.25">
      <c r="A51" s="39"/>
      <c r="B51" s="571"/>
      <c r="C51" s="571"/>
      <c r="D51" s="571"/>
      <c r="E51" s="571"/>
      <c r="F51" s="571"/>
      <c r="G51" s="571"/>
      <c r="H51" s="571"/>
      <c r="I51" s="571"/>
      <c r="J51" s="571"/>
      <c r="K51" s="571"/>
      <c r="L51" s="571"/>
      <c r="M51" s="571"/>
      <c r="O51" s="15"/>
      <c r="P51" s="12"/>
      <c r="Q51" s="12"/>
      <c r="R51" s="12"/>
      <c r="S51" s="10"/>
    </row>
    <row r="52" spans="1:19" s="41" customFormat="1" ht="15.75" customHeight="1" x14ac:dyDescent="0.25">
      <c r="A52" s="39"/>
      <c r="B52" s="571"/>
      <c r="C52" s="571"/>
      <c r="D52" s="571"/>
      <c r="E52" s="571"/>
      <c r="F52" s="571"/>
      <c r="G52" s="571"/>
      <c r="H52" s="571"/>
      <c r="I52" s="571"/>
      <c r="J52" s="571"/>
      <c r="K52" s="571"/>
      <c r="L52" s="571"/>
      <c r="M52" s="571"/>
      <c r="O52" s="15"/>
      <c r="P52" s="12"/>
      <c r="Q52" s="12"/>
      <c r="R52" s="12"/>
      <c r="S52" s="10"/>
    </row>
    <row r="53" spans="1:19" s="41" customFormat="1" ht="15.75" customHeight="1" x14ac:dyDescent="0.25">
      <c r="A53" s="39"/>
      <c r="B53" s="571"/>
      <c r="C53" s="571"/>
      <c r="D53" s="571"/>
      <c r="E53" s="571"/>
      <c r="F53" s="571"/>
      <c r="G53" s="571"/>
      <c r="H53" s="571"/>
      <c r="I53" s="571"/>
      <c r="J53" s="571"/>
      <c r="K53" s="571"/>
      <c r="L53" s="571"/>
      <c r="M53" s="571"/>
      <c r="O53" s="15"/>
      <c r="P53" s="12"/>
      <c r="Q53" s="12"/>
      <c r="R53" s="12"/>
      <c r="S53" s="10"/>
    </row>
    <row r="54" spans="1:19" s="41" customFormat="1" ht="13.8" x14ac:dyDescent="0.25">
      <c r="A54" s="39"/>
      <c r="B54" s="571"/>
      <c r="C54" s="571"/>
      <c r="D54" s="571"/>
      <c r="E54" s="571"/>
      <c r="F54" s="571"/>
      <c r="G54" s="571"/>
      <c r="H54" s="571"/>
      <c r="I54" s="571"/>
      <c r="J54" s="571"/>
      <c r="K54" s="571"/>
      <c r="L54" s="571"/>
      <c r="M54" s="571"/>
      <c r="O54" s="15"/>
      <c r="P54" s="12"/>
      <c r="Q54" s="12"/>
      <c r="R54" s="12"/>
      <c r="S54" s="10"/>
    </row>
    <row r="55" spans="1:19" s="41" customFormat="1" ht="15.75" customHeight="1" x14ac:dyDescent="0.25">
      <c r="A55" s="39"/>
      <c r="B55" s="571"/>
      <c r="C55" s="571"/>
      <c r="D55" s="571"/>
      <c r="E55" s="571"/>
      <c r="F55" s="571"/>
      <c r="G55" s="571"/>
      <c r="H55" s="571"/>
      <c r="I55" s="571"/>
      <c r="J55" s="571"/>
      <c r="K55" s="571"/>
      <c r="L55" s="571"/>
      <c r="M55" s="571"/>
      <c r="O55" s="15"/>
      <c r="P55" s="12"/>
      <c r="Q55" s="12"/>
      <c r="R55" s="12"/>
      <c r="S55" s="10"/>
    </row>
    <row r="56" spans="1:19" s="41" customFormat="1" ht="15.75" customHeight="1" x14ac:dyDescent="0.25">
      <c r="A56" s="39"/>
      <c r="B56" s="571"/>
      <c r="C56" s="571"/>
      <c r="D56" s="571"/>
      <c r="E56" s="571"/>
      <c r="F56" s="571"/>
      <c r="G56" s="571"/>
      <c r="H56" s="571"/>
      <c r="I56" s="571"/>
      <c r="J56" s="571"/>
      <c r="K56" s="571"/>
      <c r="L56" s="571"/>
      <c r="M56" s="571"/>
      <c r="O56" s="15"/>
      <c r="P56" s="12"/>
      <c r="Q56" s="12"/>
      <c r="R56" s="12"/>
      <c r="S56" s="10"/>
    </row>
    <row r="57" spans="1:19" s="41" customFormat="1" ht="15.75" customHeight="1" x14ac:dyDescent="0.25">
      <c r="A57" s="39"/>
      <c r="B57" s="571"/>
      <c r="C57" s="571"/>
      <c r="D57" s="571"/>
      <c r="E57" s="571"/>
      <c r="F57" s="571"/>
      <c r="G57" s="571"/>
      <c r="H57" s="571"/>
      <c r="I57" s="571"/>
      <c r="J57" s="571"/>
      <c r="K57" s="571"/>
      <c r="L57" s="571"/>
      <c r="M57" s="571"/>
      <c r="O57" s="15"/>
      <c r="P57" s="12"/>
      <c r="Q57" s="12"/>
      <c r="R57" s="455"/>
      <c r="S57" s="10"/>
    </row>
    <row r="58" spans="1:19" s="41" customFormat="1" ht="13.8" x14ac:dyDescent="0.25">
      <c r="A58" s="39"/>
      <c r="B58" s="571"/>
      <c r="C58" s="571"/>
      <c r="D58" s="571"/>
      <c r="E58" s="571"/>
      <c r="F58" s="571"/>
      <c r="G58" s="571"/>
      <c r="H58" s="571"/>
      <c r="I58" s="571"/>
      <c r="J58" s="571"/>
      <c r="K58" s="571"/>
      <c r="L58" s="571"/>
      <c r="M58" s="571"/>
      <c r="O58" s="15"/>
      <c r="P58" s="12"/>
      <c r="Q58" s="12"/>
      <c r="R58" s="12"/>
      <c r="S58" s="10"/>
    </row>
    <row r="59" spans="1:19" s="41" customFormat="1" ht="13.8" x14ac:dyDescent="0.25">
      <c r="A59" s="39"/>
      <c r="B59" s="571"/>
      <c r="C59" s="571"/>
      <c r="D59" s="571"/>
      <c r="E59" s="571"/>
      <c r="F59" s="571"/>
      <c r="G59" s="571"/>
      <c r="H59" s="571"/>
      <c r="I59" s="571"/>
      <c r="J59" s="571"/>
      <c r="K59" s="571"/>
      <c r="L59" s="571"/>
      <c r="M59" s="571"/>
      <c r="O59" s="15"/>
      <c r="P59" s="12"/>
      <c r="Q59" s="12"/>
      <c r="R59" s="12"/>
      <c r="S59" s="10"/>
    </row>
    <row r="60" spans="1:19" s="41" customFormat="1" ht="13.8" x14ac:dyDescent="0.25">
      <c r="A60" s="39"/>
      <c r="B60" s="571"/>
      <c r="C60" s="571"/>
      <c r="D60" s="571"/>
      <c r="E60" s="571"/>
      <c r="F60" s="571"/>
      <c r="G60" s="571"/>
      <c r="H60" s="571"/>
      <c r="I60" s="571"/>
      <c r="J60" s="571"/>
      <c r="K60" s="571"/>
      <c r="L60" s="571"/>
      <c r="M60" s="571"/>
      <c r="O60" s="15"/>
      <c r="P60" s="12"/>
      <c r="Q60" s="12"/>
      <c r="R60" s="12"/>
      <c r="S60" s="10"/>
    </row>
    <row r="61" spans="1:19" s="41" customFormat="1" ht="13.8" x14ac:dyDescent="0.25">
      <c r="A61" s="39"/>
      <c r="B61" s="571"/>
      <c r="C61" s="571"/>
      <c r="D61" s="571"/>
      <c r="E61" s="571"/>
      <c r="F61" s="571"/>
      <c r="G61" s="571"/>
      <c r="H61" s="571"/>
      <c r="I61" s="571"/>
      <c r="J61" s="571"/>
      <c r="K61" s="571"/>
      <c r="L61" s="571"/>
      <c r="M61" s="571"/>
      <c r="O61" s="15"/>
      <c r="P61" s="12"/>
      <c r="Q61" s="12"/>
      <c r="R61" s="12"/>
      <c r="S61" s="10"/>
    </row>
    <row r="62" spans="1:19" s="41" customFormat="1" ht="13.8" x14ac:dyDescent="0.25">
      <c r="A62" s="39"/>
      <c r="B62" s="571"/>
      <c r="C62" s="571"/>
      <c r="D62" s="571"/>
      <c r="E62" s="571"/>
      <c r="F62" s="571"/>
      <c r="G62" s="571"/>
      <c r="H62" s="571"/>
      <c r="I62" s="571"/>
      <c r="J62" s="571"/>
      <c r="K62" s="571"/>
      <c r="L62" s="571"/>
      <c r="M62" s="571"/>
      <c r="O62" s="15"/>
      <c r="P62" s="12"/>
      <c r="Q62" s="12"/>
      <c r="R62" s="12"/>
      <c r="S62" s="10"/>
    </row>
    <row r="63" spans="1:19" s="41" customFormat="1" ht="13.8" x14ac:dyDescent="0.25">
      <c r="A63" s="39"/>
      <c r="B63" s="571"/>
      <c r="C63" s="571"/>
      <c r="D63" s="571"/>
      <c r="E63" s="571"/>
      <c r="F63" s="571"/>
      <c r="G63" s="571"/>
      <c r="H63" s="571"/>
      <c r="I63" s="571"/>
      <c r="J63" s="571"/>
      <c r="K63" s="571"/>
      <c r="L63" s="571"/>
      <c r="M63" s="571"/>
      <c r="O63" s="15"/>
      <c r="P63" s="12"/>
      <c r="Q63" s="12"/>
      <c r="R63" s="12"/>
      <c r="S63" s="10"/>
    </row>
    <row r="64" spans="1:19" s="41" customFormat="1" ht="13.8" x14ac:dyDescent="0.25">
      <c r="A64" s="39"/>
      <c r="B64" s="571"/>
      <c r="C64" s="571"/>
      <c r="D64" s="571"/>
      <c r="E64" s="571"/>
      <c r="F64" s="571"/>
      <c r="G64" s="571"/>
      <c r="H64" s="571"/>
      <c r="I64" s="571"/>
      <c r="J64" s="571"/>
      <c r="K64" s="571"/>
      <c r="L64" s="571"/>
      <c r="M64" s="571"/>
      <c r="O64" s="15"/>
      <c r="P64" s="12"/>
      <c r="Q64" s="12"/>
      <c r="R64" s="12"/>
      <c r="S64" s="10"/>
    </row>
    <row r="65" spans="1:19" s="41" customFormat="1" ht="13.8" x14ac:dyDescent="0.25">
      <c r="A65" s="39"/>
      <c r="B65" s="571"/>
      <c r="C65" s="571"/>
      <c r="D65" s="571"/>
      <c r="E65" s="571"/>
      <c r="F65" s="571"/>
      <c r="G65" s="571"/>
      <c r="H65" s="571"/>
      <c r="I65" s="571"/>
      <c r="J65" s="571"/>
      <c r="K65" s="571"/>
      <c r="L65" s="571"/>
      <c r="M65" s="571"/>
      <c r="O65" s="15"/>
      <c r="P65" s="12"/>
      <c r="Q65" s="12"/>
      <c r="R65" s="12"/>
      <c r="S65" s="10"/>
    </row>
    <row r="66" spans="1:19" s="41" customFormat="1" ht="13.8" x14ac:dyDescent="0.25">
      <c r="A66" s="39"/>
      <c r="B66" s="571"/>
      <c r="C66" s="571"/>
      <c r="D66" s="571"/>
      <c r="E66" s="571"/>
      <c r="F66" s="571"/>
      <c r="G66" s="571"/>
      <c r="H66" s="571"/>
      <c r="I66" s="571"/>
      <c r="J66" s="571"/>
      <c r="K66" s="571"/>
      <c r="L66" s="571"/>
      <c r="M66" s="571"/>
      <c r="O66" s="15"/>
      <c r="P66" s="12"/>
      <c r="Q66" s="12"/>
      <c r="R66" s="12"/>
      <c r="S66" s="10"/>
    </row>
    <row r="67" spans="1:19" s="41" customFormat="1" ht="13.8" x14ac:dyDescent="0.25">
      <c r="A67" s="39"/>
      <c r="B67" s="571"/>
      <c r="C67" s="571"/>
      <c r="D67" s="571"/>
      <c r="E67" s="571"/>
      <c r="F67" s="571"/>
      <c r="G67" s="571"/>
      <c r="H67" s="571"/>
      <c r="I67" s="571"/>
      <c r="J67" s="571"/>
      <c r="K67" s="571"/>
      <c r="L67" s="571"/>
      <c r="M67" s="571"/>
      <c r="O67" s="15"/>
      <c r="P67" s="12"/>
      <c r="Q67" s="12"/>
      <c r="R67" s="12"/>
      <c r="S67" s="10"/>
    </row>
    <row r="68" spans="1:19" s="41" customFormat="1" ht="13.8" x14ac:dyDescent="0.25">
      <c r="A68" s="39"/>
      <c r="B68" s="571"/>
      <c r="C68" s="571"/>
      <c r="D68" s="571"/>
      <c r="E68" s="571"/>
      <c r="F68" s="571"/>
      <c r="G68" s="571"/>
      <c r="H68" s="571"/>
      <c r="I68" s="571"/>
      <c r="J68" s="571"/>
      <c r="K68" s="571"/>
      <c r="L68" s="571"/>
      <c r="M68" s="571"/>
      <c r="O68" s="15"/>
      <c r="P68" s="12"/>
      <c r="Q68" s="12"/>
      <c r="R68" s="12"/>
      <c r="S68" s="10"/>
    </row>
    <row r="69" spans="1:19" s="41" customFormat="1" ht="13.8" x14ac:dyDescent="0.25">
      <c r="A69" s="39"/>
      <c r="B69" s="571"/>
      <c r="C69" s="571"/>
      <c r="D69" s="571"/>
      <c r="E69" s="571"/>
      <c r="F69" s="571"/>
      <c r="G69" s="571"/>
      <c r="H69" s="571"/>
      <c r="I69" s="571"/>
      <c r="J69" s="571"/>
      <c r="K69" s="571"/>
      <c r="L69" s="571"/>
      <c r="M69" s="571"/>
      <c r="O69" s="15"/>
      <c r="P69" s="12"/>
      <c r="Q69" s="12"/>
      <c r="R69" s="12"/>
      <c r="S69" s="10"/>
    </row>
    <row r="70" spans="1:19" s="41" customFormat="1" ht="13.8" x14ac:dyDescent="0.25">
      <c r="A70" s="39"/>
      <c r="B70" s="571"/>
      <c r="C70" s="571"/>
      <c r="D70" s="571"/>
      <c r="E70" s="571"/>
      <c r="F70" s="571"/>
      <c r="G70" s="571"/>
      <c r="H70" s="571"/>
      <c r="I70" s="571"/>
      <c r="J70" s="571"/>
      <c r="K70" s="571"/>
      <c r="L70" s="571"/>
      <c r="M70" s="571"/>
      <c r="O70" s="15"/>
      <c r="P70" s="12"/>
      <c r="Q70" s="12"/>
      <c r="R70" s="12"/>
      <c r="S70" s="10"/>
    </row>
    <row r="71" spans="1:19" s="41" customFormat="1" ht="13.8" x14ac:dyDescent="0.25">
      <c r="A71" s="39"/>
      <c r="B71" s="571"/>
      <c r="C71" s="571"/>
      <c r="D71" s="571"/>
      <c r="E71" s="571"/>
      <c r="F71" s="571"/>
      <c r="G71" s="571"/>
      <c r="H71" s="571"/>
      <c r="I71" s="571"/>
      <c r="J71" s="571"/>
      <c r="K71" s="571"/>
      <c r="L71" s="571"/>
      <c r="M71" s="571"/>
      <c r="O71" s="15"/>
      <c r="P71" s="12"/>
      <c r="Q71" s="12"/>
      <c r="R71" s="12"/>
      <c r="S71" s="10"/>
    </row>
    <row r="72" spans="1:19" s="41" customFormat="1" ht="13.8" x14ac:dyDescent="0.25">
      <c r="A72" s="39"/>
      <c r="B72" s="571"/>
      <c r="C72" s="571"/>
      <c r="D72" s="571"/>
      <c r="E72" s="571"/>
      <c r="F72" s="571"/>
      <c r="G72" s="571"/>
      <c r="H72" s="571"/>
      <c r="I72" s="571"/>
      <c r="J72" s="571"/>
      <c r="K72" s="571"/>
      <c r="L72" s="571"/>
      <c r="M72" s="571"/>
      <c r="O72" s="15"/>
      <c r="P72" s="12"/>
      <c r="Q72" s="12"/>
      <c r="R72" s="12"/>
      <c r="S72" s="10"/>
    </row>
    <row r="73" spans="1:19" s="41" customFormat="1" ht="13.8" x14ac:dyDescent="0.25">
      <c r="A73" s="44"/>
      <c r="B73" s="44"/>
      <c r="C73" s="44"/>
      <c r="D73" s="44"/>
      <c r="E73" s="44"/>
      <c r="F73" s="44"/>
      <c r="G73" s="44"/>
      <c r="H73" s="45"/>
      <c r="I73" s="45"/>
      <c r="J73" s="46"/>
      <c r="K73" s="47"/>
      <c r="L73" s="47"/>
      <c r="M73" s="47"/>
      <c r="O73" s="15"/>
      <c r="P73" s="12"/>
      <c r="Q73" s="12"/>
      <c r="R73" s="12"/>
      <c r="S73" s="37"/>
    </row>
    <row r="74" spans="1:19" s="41" customFormat="1" ht="13.8" x14ac:dyDescent="0.25">
      <c r="A74" s="68"/>
      <c r="B74" s="68"/>
      <c r="C74" s="68"/>
      <c r="D74" s="68"/>
      <c r="E74" s="68"/>
      <c r="F74" s="68"/>
      <c r="G74" s="68"/>
      <c r="H74" s="203"/>
      <c r="I74" s="203"/>
      <c r="J74" s="63"/>
      <c r="K74" s="176"/>
      <c r="L74" s="176"/>
      <c r="M74" s="176"/>
      <c r="O74" s="15"/>
      <c r="P74" s="12"/>
      <c r="Q74" s="12"/>
      <c r="R74" s="12"/>
      <c r="S74" s="37"/>
    </row>
    <row r="75" spans="1:19" s="41" customFormat="1" ht="13.8" x14ac:dyDescent="0.25">
      <c r="A75" s="43"/>
      <c r="B75" s="48" t="s">
        <v>26</v>
      </c>
      <c r="D75" s="42"/>
      <c r="E75" s="42"/>
      <c r="F75" s="42"/>
      <c r="G75" s="42"/>
      <c r="H75" s="49"/>
      <c r="I75" s="50"/>
      <c r="J75" s="51"/>
      <c r="K75" s="51"/>
      <c r="O75" s="15"/>
      <c r="P75" s="12"/>
      <c r="Q75" s="12"/>
      <c r="R75" s="12"/>
      <c r="S75" s="37"/>
    </row>
    <row r="76" spans="1:19" s="41" customFormat="1" ht="13.8" x14ac:dyDescent="0.25">
      <c r="A76" s="43"/>
      <c r="B76" s="52"/>
      <c r="D76" s="42"/>
      <c r="E76" s="42"/>
      <c r="F76" s="42"/>
      <c r="G76" s="42"/>
      <c r="H76" s="53"/>
      <c r="I76" s="53" t="s">
        <v>27</v>
      </c>
      <c r="J76" s="42"/>
      <c r="L76" s="54" t="s">
        <v>28</v>
      </c>
      <c r="O76" s="15"/>
      <c r="P76" s="12"/>
      <c r="Q76" s="12"/>
      <c r="R76" s="455"/>
      <c r="S76" s="37"/>
    </row>
    <row r="77" spans="1:19" s="41" customFormat="1" ht="13.8" x14ac:dyDescent="0.25">
      <c r="A77" s="43"/>
      <c r="B77" s="55" t="s">
        <v>29</v>
      </c>
      <c r="C77" s="260" t="s">
        <v>297</v>
      </c>
      <c r="D77" s="253"/>
      <c r="E77" s="253"/>
      <c r="F77" s="253"/>
      <c r="G77" s="261"/>
      <c r="H77" s="261"/>
      <c r="I77" s="266" t="s">
        <v>18</v>
      </c>
      <c r="J77" s="266"/>
      <c r="K77" s="266"/>
      <c r="L77" s="219">
        <v>45000</v>
      </c>
      <c r="M77" s="331" t="s">
        <v>197</v>
      </c>
      <c r="N77" s="331"/>
      <c r="O77" s="43"/>
      <c r="S77" s="40"/>
    </row>
    <row r="78" spans="1:19" s="41" customFormat="1" ht="13.8" x14ac:dyDescent="0.25">
      <c r="A78" s="43"/>
      <c r="B78" s="55" t="s">
        <v>30</v>
      </c>
      <c r="C78" s="264" t="s">
        <v>298</v>
      </c>
      <c r="D78" s="253"/>
      <c r="E78" s="253"/>
      <c r="F78" s="253"/>
      <c r="G78" s="261"/>
      <c r="H78" s="261"/>
      <c r="I78" s="575" t="s">
        <v>15</v>
      </c>
      <c r="J78" s="575"/>
      <c r="K78" s="575"/>
      <c r="L78" s="220">
        <v>-20000</v>
      </c>
      <c r="M78" s="331" t="s">
        <v>197</v>
      </c>
      <c r="N78" s="331"/>
      <c r="O78" s="43"/>
      <c r="S78" s="40"/>
    </row>
    <row r="79" spans="1:19" s="41" customFormat="1" ht="13.8" x14ac:dyDescent="0.25">
      <c r="A79" s="43"/>
      <c r="B79" s="55" t="s">
        <v>31</v>
      </c>
      <c r="C79" s="264" t="s">
        <v>299</v>
      </c>
      <c r="D79" s="474"/>
      <c r="E79" s="474"/>
      <c r="F79" s="474"/>
      <c r="G79" s="261"/>
      <c r="H79" s="261"/>
      <c r="I79" s="472" t="s">
        <v>17</v>
      </c>
      <c r="J79" s="472"/>
      <c r="K79" s="472"/>
      <c r="L79" s="220">
        <v>-35000</v>
      </c>
      <c r="M79" s="331"/>
      <c r="N79" s="331"/>
      <c r="O79" s="43"/>
      <c r="S79" s="40"/>
    </row>
    <row r="80" spans="1:19" s="41" customFormat="1" ht="13.8" x14ac:dyDescent="0.25">
      <c r="A80" s="43"/>
      <c r="B80" s="55" t="s">
        <v>32</v>
      </c>
      <c r="C80" s="264" t="s">
        <v>300</v>
      </c>
      <c r="D80" s="474"/>
      <c r="E80" s="474"/>
      <c r="F80" s="474"/>
      <c r="G80" s="261"/>
      <c r="H80" s="261"/>
      <c r="I80" s="472" t="s">
        <v>19</v>
      </c>
      <c r="J80" s="472"/>
      <c r="K80" s="472"/>
      <c r="L80" s="220">
        <v>-40000</v>
      </c>
      <c r="M80" s="331"/>
      <c r="N80" s="331"/>
      <c r="O80" s="43"/>
      <c r="S80" s="40"/>
    </row>
    <row r="81" spans="1:23" s="41" customFormat="1" ht="13.8" x14ac:dyDescent="0.25">
      <c r="A81" s="43"/>
      <c r="B81" s="55" t="s">
        <v>33</v>
      </c>
      <c r="C81" s="260" t="s">
        <v>277</v>
      </c>
      <c r="D81" s="253"/>
      <c r="E81" s="253"/>
      <c r="F81" s="253"/>
      <c r="G81" s="261"/>
      <c r="H81" s="261"/>
      <c r="I81" s="266" t="s">
        <v>4</v>
      </c>
      <c r="J81" s="266"/>
      <c r="K81" s="266"/>
      <c r="L81" s="220">
        <v>-50000</v>
      </c>
      <c r="O81" s="43"/>
      <c r="S81" s="40"/>
    </row>
    <row r="82" spans="1:23" s="41" customFormat="1" ht="13.8" x14ac:dyDescent="0.25">
      <c r="A82" s="43"/>
      <c r="B82" s="55" t="s">
        <v>181</v>
      </c>
      <c r="C82" s="264" t="s">
        <v>301</v>
      </c>
      <c r="D82" s="474"/>
      <c r="E82" s="474"/>
      <c r="F82" s="474"/>
      <c r="G82" s="261"/>
      <c r="H82" s="261"/>
      <c r="I82" s="472" t="s">
        <v>13</v>
      </c>
      <c r="J82" s="472"/>
      <c r="K82" s="472"/>
      <c r="L82" s="220">
        <v>-60000</v>
      </c>
      <c r="M82" s="331"/>
      <c r="N82" s="331"/>
      <c r="O82" s="43"/>
      <c r="S82" s="40"/>
    </row>
    <row r="83" spans="1:23" s="41" customFormat="1" ht="13.8" x14ac:dyDescent="0.25">
      <c r="A83" s="43"/>
      <c r="B83" s="55" t="s">
        <v>182</v>
      </c>
      <c r="C83" s="260" t="s">
        <v>293</v>
      </c>
      <c r="D83" s="479"/>
      <c r="E83" s="479"/>
      <c r="F83" s="479"/>
      <c r="G83" s="261"/>
      <c r="H83" s="261"/>
      <c r="I83" s="478" t="s">
        <v>19</v>
      </c>
      <c r="J83" s="478"/>
      <c r="K83" s="478"/>
      <c r="L83" s="220">
        <v>-100000</v>
      </c>
      <c r="O83" s="43"/>
      <c r="S83" s="40"/>
    </row>
    <row r="84" spans="1:23" s="41" customFormat="1" ht="13.8" x14ac:dyDescent="0.25">
      <c r="A84" s="43"/>
      <c r="B84" s="55" t="s">
        <v>183</v>
      </c>
      <c r="C84" s="260" t="s">
        <v>276</v>
      </c>
      <c r="D84" s="479"/>
      <c r="E84" s="479"/>
      <c r="F84" s="479"/>
      <c r="G84" s="261"/>
      <c r="H84" s="261"/>
      <c r="I84" s="478" t="s">
        <v>19</v>
      </c>
      <c r="J84" s="478"/>
      <c r="K84" s="478"/>
      <c r="L84" s="220">
        <v>-180000</v>
      </c>
      <c r="O84" s="43"/>
      <c r="S84" s="40"/>
    </row>
    <row r="85" spans="1:23" s="41" customFormat="1" ht="13.8" hidden="1" x14ac:dyDescent="0.25">
      <c r="A85" s="43"/>
      <c r="B85" s="55" t="s">
        <v>302</v>
      </c>
      <c r="C85" s="260"/>
      <c r="D85" s="479"/>
      <c r="E85" s="479"/>
      <c r="F85" s="479"/>
      <c r="G85" s="261"/>
      <c r="H85" s="261"/>
      <c r="I85" s="478"/>
      <c r="J85" s="478"/>
      <c r="K85" s="478"/>
      <c r="L85" s="220"/>
      <c r="O85" s="43"/>
      <c r="S85" s="40"/>
    </row>
    <row r="86" spans="1:23" s="41" customFormat="1" ht="13.8" hidden="1" x14ac:dyDescent="0.25">
      <c r="A86" s="43"/>
      <c r="B86" s="55"/>
      <c r="C86" s="260"/>
      <c r="D86" s="479"/>
      <c r="E86" s="479"/>
      <c r="F86" s="479"/>
      <c r="G86" s="261"/>
      <c r="H86" s="261"/>
      <c r="I86" s="478"/>
      <c r="J86" s="478"/>
      <c r="K86" s="478"/>
      <c r="L86" s="220"/>
      <c r="O86" s="43"/>
      <c r="S86" s="40"/>
    </row>
    <row r="87" spans="1:23" s="62" customFormat="1" ht="14.4" thickBot="1" x14ac:dyDescent="0.3">
      <c r="A87" s="60"/>
      <c r="B87" s="61" t="s">
        <v>184</v>
      </c>
      <c r="E87" s="52"/>
      <c r="F87" s="52"/>
      <c r="G87" s="63"/>
      <c r="H87" s="51"/>
      <c r="I87" s="63"/>
      <c r="J87" s="42"/>
      <c r="L87" s="64">
        <f>SUM(L77:L85)</f>
        <v>-440000</v>
      </c>
      <c r="M87" s="41"/>
      <c r="N87" s="41"/>
      <c r="O87" s="43"/>
      <c r="P87" s="41"/>
      <c r="Q87" s="41"/>
      <c r="R87" s="41"/>
      <c r="S87" s="40"/>
    </row>
    <row r="88" spans="1:23" s="41" customFormat="1" ht="8.25" customHeight="1" thickTop="1" x14ac:dyDescent="0.25">
      <c r="A88" s="65"/>
      <c r="B88" s="66"/>
      <c r="C88" s="66"/>
      <c r="D88" s="66"/>
      <c r="E88" s="66"/>
      <c r="F88" s="66"/>
      <c r="G88" s="66"/>
      <c r="H88" s="66"/>
      <c r="I88" s="66"/>
      <c r="J88" s="67"/>
      <c r="K88" s="67"/>
      <c r="L88" s="47"/>
      <c r="M88" s="47"/>
      <c r="O88" s="43"/>
      <c r="W88" s="40"/>
    </row>
    <row r="89" spans="1:23" s="41" customFormat="1" ht="3.75" customHeight="1" x14ac:dyDescent="0.25">
      <c r="A89" s="39"/>
      <c r="B89" s="68"/>
      <c r="C89" s="68"/>
      <c r="D89" s="68"/>
      <c r="E89" s="68"/>
      <c r="F89" s="68"/>
      <c r="G89" s="68"/>
      <c r="H89" s="68"/>
      <c r="I89" s="68"/>
      <c r="J89" s="69"/>
      <c r="K89" s="69"/>
      <c r="O89" s="43"/>
      <c r="W89" s="40"/>
    </row>
    <row r="90" spans="1:23" s="41" customFormat="1" ht="13.8" x14ac:dyDescent="0.25">
      <c r="A90" s="43"/>
      <c r="B90" s="6" t="s">
        <v>34</v>
      </c>
      <c r="C90" s="70"/>
      <c r="D90" s="70"/>
      <c r="E90" s="70"/>
      <c r="F90" s="70"/>
      <c r="G90" s="70"/>
      <c r="H90" s="70"/>
      <c r="I90" s="70"/>
      <c r="J90" s="89"/>
      <c r="K90" s="89"/>
      <c r="O90" s="43"/>
      <c r="W90" s="40"/>
    </row>
    <row r="91" spans="1:23" s="41" customFormat="1" ht="13.8" x14ac:dyDescent="0.25">
      <c r="A91" s="43"/>
      <c r="B91" s="571" t="s">
        <v>380</v>
      </c>
      <c r="C91" s="571"/>
      <c r="D91" s="571"/>
      <c r="E91" s="571"/>
      <c r="F91" s="571"/>
      <c r="G91" s="571"/>
      <c r="H91" s="571"/>
      <c r="I91" s="571"/>
      <c r="J91" s="571"/>
      <c r="K91" s="571"/>
      <c r="L91" s="571"/>
      <c r="M91" s="571"/>
      <c r="O91" s="43"/>
      <c r="W91" s="40"/>
    </row>
    <row r="92" spans="1:23" s="41" customFormat="1" ht="13.8" x14ac:dyDescent="0.25">
      <c r="A92" s="43"/>
      <c r="B92" s="571"/>
      <c r="C92" s="571"/>
      <c r="D92" s="571"/>
      <c r="E92" s="571"/>
      <c r="F92" s="571"/>
      <c r="G92" s="571"/>
      <c r="H92" s="571"/>
      <c r="I92" s="571"/>
      <c r="J92" s="571"/>
      <c r="K92" s="571"/>
      <c r="L92" s="571"/>
      <c r="M92" s="571"/>
      <c r="O92" s="43"/>
      <c r="W92" s="40"/>
    </row>
    <row r="93" spans="1:23" s="41" customFormat="1" ht="13.8" x14ac:dyDescent="0.25">
      <c r="A93" s="43"/>
      <c r="B93" s="571"/>
      <c r="C93" s="571"/>
      <c r="D93" s="571"/>
      <c r="E93" s="571"/>
      <c r="F93" s="571"/>
      <c r="G93" s="571"/>
      <c r="H93" s="571"/>
      <c r="I93" s="571"/>
      <c r="J93" s="571"/>
      <c r="K93" s="571"/>
      <c r="L93" s="571"/>
      <c r="M93" s="571"/>
      <c r="O93" s="43"/>
      <c r="W93" s="40"/>
    </row>
    <row r="94" spans="1:23" s="41" customFormat="1" ht="15" customHeight="1" thickBot="1" x14ac:dyDescent="0.3">
      <c r="A94" s="77"/>
      <c r="B94" s="577"/>
      <c r="C94" s="577"/>
      <c r="D94" s="577"/>
      <c r="E94" s="577"/>
      <c r="F94" s="577"/>
      <c r="G94" s="577"/>
      <c r="H94" s="577"/>
      <c r="I94" s="577"/>
      <c r="J94" s="577"/>
      <c r="K94" s="577"/>
      <c r="L94" s="577"/>
      <c r="M94" s="380"/>
      <c r="O94" s="43"/>
      <c r="W94" s="40"/>
    </row>
    <row r="95" spans="1:23" ht="11.25" customHeight="1" x14ac:dyDescent="0.25">
      <c r="B95" s="48"/>
      <c r="L95" s="41"/>
      <c r="M95" s="41"/>
      <c r="N95" s="41"/>
      <c r="O95" s="43"/>
      <c r="P95" s="41"/>
      <c r="Q95" s="41"/>
      <c r="R95" s="41"/>
      <c r="S95" s="59"/>
    </row>
  </sheetData>
  <mergeCells count="4">
    <mergeCell ref="I78:K78"/>
    <mergeCell ref="B94:L94"/>
    <mergeCell ref="B91:M93"/>
    <mergeCell ref="B23:M72"/>
  </mergeCells>
  <dataValidations count="3">
    <dataValidation type="list" allowBlank="1" showInputMessage="1" showErrorMessage="1" sqref="I77:K86">
      <formula1>$O$3:$O$21</formula1>
    </dataValidation>
    <dataValidation type="list" allowBlank="1" showInputMessage="1" showErrorMessage="1" sqref="G77:G86">
      <formula1>$O$17:$O$19</formula1>
    </dataValidation>
    <dataValidation allowBlank="1" showErrorMessage="1" promptTitle="Do not change" sqref="B76"/>
  </dataValidations>
  <printOptions horizontalCentered="1"/>
  <pageMargins left="0.19685039370078741" right="0.19685039370078741" top="0.55118110236220474" bottom="0.43307086614173229" header="0.23622047244094491" footer="0.23622047244094491"/>
  <pageSetup scale="86"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55"/>
  <sheetViews>
    <sheetView showGridLines="0" view="pageBreakPreview" zoomScale="60" zoomScaleNormal="9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19" ht="15.6" x14ac:dyDescent="0.25">
      <c r="A1" s="1" t="s">
        <v>157</v>
      </c>
      <c r="B1" s="2"/>
      <c r="C1" s="2"/>
      <c r="D1" s="2"/>
      <c r="E1" s="2"/>
      <c r="F1" s="2"/>
      <c r="G1" s="2"/>
      <c r="H1" s="2"/>
      <c r="I1" s="2"/>
      <c r="J1" s="2"/>
      <c r="K1" s="2"/>
      <c r="L1" s="2"/>
      <c r="M1" s="2"/>
      <c r="O1" s="4"/>
      <c r="P1" s="4"/>
      <c r="Q1" s="4"/>
      <c r="R1" s="4"/>
      <c r="S1" s="5"/>
    </row>
    <row r="2" spans="1:19" ht="5.25" customHeight="1" x14ac:dyDescent="0.25">
      <c r="B2" s="6"/>
      <c r="C2" s="6"/>
      <c r="D2" s="6"/>
      <c r="E2" s="6"/>
      <c r="F2" s="6"/>
      <c r="G2" s="6"/>
      <c r="O2" s="8"/>
      <c r="P2" s="8"/>
      <c r="Q2" s="8"/>
      <c r="R2" s="8"/>
      <c r="S2" s="9"/>
    </row>
    <row r="3" spans="1:19"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19" x14ac:dyDescent="0.25">
      <c r="B4" s="82"/>
      <c r="C4" s="38"/>
      <c r="D4" s="13"/>
      <c r="E4" s="14" t="s">
        <v>35</v>
      </c>
      <c r="F4" s="14" t="s">
        <v>35</v>
      </c>
      <c r="G4" s="14" t="s">
        <v>35</v>
      </c>
      <c r="I4" s="85"/>
      <c r="J4" s="14" t="s">
        <v>41</v>
      </c>
      <c r="K4" s="14" t="s">
        <v>41</v>
      </c>
      <c r="L4" s="14" t="s">
        <v>41</v>
      </c>
      <c r="O4" s="7" t="s">
        <v>3</v>
      </c>
      <c r="P4" s="3"/>
      <c r="Q4" s="3"/>
      <c r="R4" s="3"/>
      <c r="S4" s="10">
        <f t="shared" si="0"/>
        <v>0</v>
      </c>
    </row>
    <row r="5" spans="1:19" x14ac:dyDescent="0.25">
      <c r="B5" s="16" t="s">
        <v>36</v>
      </c>
      <c r="C5" s="17"/>
      <c r="D5" s="12"/>
      <c r="E5" s="18">
        <v>8172313</v>
      </c>
      <c r="F5" s="18">
        <v>9049487</v>
      </c>
      <c r="G5" s="18">
        <v>8983862</v>
      </c>
      <c r="I5" s="86" t="s">
        <v>38</v>
      </c>
      <c r="J5" s="73"/>
      <c r="K5" s="73"/>
      <c r="L5" s="73">
        <v>0</v>
      </c>
      <c r="O5" s="15" t="s">
        <v>4</v>
      </c>
      <c r="S5" s="10">
        <f t="shared" si="0"/>
        <v>50000</v>
      </c>
    </row>
    <row r="6" spans="1:19" x14ac:dyDescent="0.25">
      <c r="B6" s="16" t="s">
        <v>7</v>
      </c>
      <c r="C6" s="17"/>
      <c r="D6" s="12"/>
      <c r="E6" s="18">
        <v>5659287</v>
      </c>
      <c r="F6" s="18">
        <v>6529604</v>
      </c>
      <c r="G6" s="18">
        <f>8983862-2644547</f>
        <v>6339315</v>
      </c>
      <c r="I6" s="87" t="s">
        <v>39</v>
      </c>
      <c r="J6" s="18">
        <v>-15000</v>
      </c>
      <c r="K6" s="18">
        <v>88000</v>
      </c>
      <c r="L6" s="18">
        <v>95000</v>
      </c>
      <c r="O6" s="15" t="s">
        <v>6</v>
      </c>
      <c r="S6" s="10">
        <f t="shared" si="0"/>
        <v>0</v>
      </c>
    </row>
    <row r="7" spans="1:19" x14ac:dyDescent="0.25">
      <c r="B7" s="21" t="s">
        <v>9</v>
      </c>
      <c r="C7" s="22"/>
      <c r="D7" s="23"/>
      <c r="E7" s="24">
        <v>5283031</v>
      </c>
      <c r="F7" s="24">
        <v>6005052</v>
      </c>
      <c r="G7" s="24">
        <f>G6-L6</f>
        <v>6244315</v>
      </c>
      <c r="I7" s="87" t="s">
        <v>40</v>
      </c>
      <c r="J7" s="18">
        <v>-445000</v>
      </c>
      <c r="K7" s="18">
        <v>170000</v>
      </c>
      <c r="L7" s="18">
        <f>+L43</f>
        <v>175000</v>
      </c>
      <c r="O7" s="15" t="s">
        <v>8</v>
      </c>
      <c r="P7" s="20"/>
      <c r="S7" s="10">
        <f t="shared" si="0"/>
        <v>0</v>
      </c>
    </row>
    <row r="8" spans="1:19" x14ac:dyDescent="0.25">
      <c r="B8" s="26" t="s">
        <v>11</v>
      </c>
      <c r="C8" s="27"/>
      <c r="D8" s="28"/>
      <c r="E8" s="29">
        <v>376256</v>
      </c>
      <c r="F8" s="29">
        <v>524552</v>
      </c>
      <c r="G8" s="29">
        <f>G6-G7</f>
        <v>95000</v>
      </c>
      <c r="I8" s="88" t="s">
        <v>43</v>
      </c>
      <c r="J8" s="74">
        <f>E8</f>
        <v>376256</v>
      </c>
      <c r="K8" s="74">
        <f>F8</f>
        <v>524552</v>
      </c>
      <c r="L8" s="74"/>
      <c r="O8" s="15" t="s">
        <v>10</v>
      </c>
      <c r="P8" s="25"/>
      <c r="S8" s="10">
        <f t="shared" si="0"/>
        <v>0</v>
      </c>
    </row>
    <row r="9" spans="1:19" x14ac:dyDescent="0.25">
      <c r="B9" s="32" t="s">
        <v>37</v>
      </c>
      <c r="C9" s="33"/>
      <c r="D9" s="23"/>
      <c r="E9" s="34">
        <f>IF(ISERROR(IF(E8=0,"",(E8/$E$5))),"",(IF(E8=0,"",(E8/$E$5))))</f>
        <v>4.6040331543835876E-2</v>
      </c>
      <c r="F9" s="34">
        <f>IF(ISERROR(IF(F8=0,"",(F8/$F$5))),"",(IF(F8=0,"",(F8/$F$5))))</f>
        <v>5.7964832702671436E-2</v>
      </c>
      <c r="G9" s="34">
        <f>IF(ISERROR(IF(G8=0,"",(G8/$G$5))),"",(IF(G8=0,"",(G8/$G$5))))</f>
        <v>1.0574516839194546E-2</v>
      </c>
      <c r="I9" s="83" t="s">
        <v>42</v>
      </c>
      <c r="O9" s="15" t="s">
        <v>12</v>
      </c>
      <c r="P9" s="30"/>
      <c r="Q9" s="19"/>
      <c r="R9" s="31"/>
      <c r="S9" s="10">
        <f t="shared" si="0"/>
        <v>0</v>
      </c>
    </row>
    <row r="10" spans="1:19" x14ac:dyDescent="0.25">
      <c r="O10" s="15" t="s">
        <v>13</v>
      </c>
      <c r="P10" s="35"/>
      <c r="Q10" s="19"/>
      <c r="S10" s="10">
        <f t="shared" si="0"/>
        <v>0</v>
      </c>
    </row>
    <row r="11" spans="1:19" x14ac:dyDescent="0.25">
      <c r="O11" s="15" t="s">
        <v>14</v>
      </c>
      <c r="P11" s="36"/>
      <c r="Q11" s="36"/>
      <c r="S11" s="10">
        <f t="shared" si="0"/>
        <v>0</v>
      </c>
    </row>
    <row r="12" spans="1:19" x14ac:dyDescent="0.25">
      <c r="O12" s="15" t="s">
        <v>15</v>
      </c>
      <c r="P12" s="36"/>
      <c r="Q12" s="36"/>
      <c r="S12" s="10">
        <f t="shared" si="0"/>
        <v>0</v>
      </c>
    </row>
    <row r="13" spans="1:19" x14ac:dyDescent="0.25">
      <c r="O13" s="15" t="s">
        <v>16</v>
      </c>
      <c r="P13" s="36"/>
      <c r="Q13" s="36"/>
      <c r="S13" s="10">
        <f t="shared" si="0"/>
        <v>0</v>
      </c>
    </row>
    <row r="14" spans="1:19" x14ac:dyDescent="0.25">
      <c r="O14" s="15" t="s">
        <v>17</v>
      </c>
      <c r="P14" s="36"/>
      <c r="Q14" s="36"/>
      <c r="S14" s="10">
        <f t="shared" si="0"/>
        <v>0</v>
      </c>
    </row>
    <row r="15" spans="1:19" x14ac:dyDescent="0.25">
      <c r="O15" s="15" t="s">
        <v>18</v>
      </c>
      <c r="P15" s="36"/>
      <c r="Q15" s="36"/>
      <c r="S15" s="10">
        <f t="shared" si="0"/>
        <v>0</v>
      </c>
    </row>
    <row r="16" spans="1:19" x14ac:dyDescent="0.25">
      <c r="O16" s="15" t="s">
        <v>19</v>
      </c>
      <c r="P16" s="36"/>
      <c r="Q16" s="36"/>
      <c r="S16" s="10">
        <f t="shared" si="0"/>
        <v>125000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175000</v>
      </c>
    </row>
    <row r="23" spans="1:19" s="41" customFormat="1" ht="15" customHeight="1" x14ac:dyDescent="0.25">
      <c r="A23" s="39"/>
      <c r="B23" s="571" t="s">
        <v>399</v>
      </c>
      <c r="C23" s="571"/>
      <c r="D23" s="571"/>
      <c r="E23" s="571"/>
      <c r="F23" s="571"/>
      <c r="G23" s="571"/>
      <c r="H23" s="571"/>
      <c r="I23" s="571"/>
      <c r="J23" s="571"/>
      <c r="K23" s="571"/>
      <c r="L23" s="571"/>
      <c r="O23" s="15"/>
      <c r="P23" s="12"/>
      <c r="Q23" s="12"/>
      <c r="R23" s="12"/>
      <c r="S23" s="10"/>
    </row>
    <row r="24" spans="1:19" s="41" customFormat="1" ht="13.8" x14ac:dyDescent="0.25">
      <c r="A24" s="39"/>
      <c r="B24" s="571"/>
      <c r="C24" s="571"/>
      <c r="D24" s="571"/>
      <c r="E24" s="571"/>
      <c r="F24" s="571"/>
      <c r="G24" s="571"/>
      <c r="H24" s="571"/>
      <c r="I24" s="571"/>
      <c r="J24" s="571"/>
      <c r="K24" s="571"/>
      <c r="L24" s="571"/>
      <c r="O24" s="15"/>
      <c r="P24" s="12"/>
      <c r="Q24" s="12"/>
      <c r="R24" s="12"/>
      <c r="S24" s="10"/>
    </row>
    <row r="25" spans="1:19" s="41" customFormat="1" ht="13.8" x14ac:dyDescent="0.25">
      <c r="A25" s="39"/>
      <c r="B25" s="571"/>
      <c r="C25" s="571"/>
      <c r="D25" s="571"/>
      <c r="E25" s="571"/>
      <c r="F25" s="571"/>
      <c r="G25" s="571"/>
      <c r="H25" s="571"/>
      <c r="I25" s="571"/>
      <c r="J25" s="571"/>
      <c r="K25" s="571"/>
      <c r="L25" s="571"/>
      <c r="O25" s="15"/>
      <c r="P25" s="12"/>
      <c r="Q25" s="12"/>
      <c r="R25" s="12"/>
      <c r="S25" s="10"/>
    </row>
    <row r="26" spans="1:19" s="41" customFormat="1" ht="13.8" x14ac:dyDescent="0.25">
      <c r="A26" s="39"/>
      <c r="B26" s="571"/>
      <c r="C26" s="571"/>
      <c r="D26" s="571"/>
      <c r="E26" s="571"/>
      <c r="F26" s="571"/>
      <c r="G26" s="571"/>
      <c r="H26" s="571"/>
      <c r="I26" s="571"/>
      <c r="J26" s="571"/>
      <c r="K26" s="571"/>
      <c r="L26" s="571"/>
      <c r="O26" s="15"/>
      <c r="P26" s="12"/>
      <c r="Q26" s="12"/>
      <c r="R26" s="12"/>
      <c r="S26" s="10"/>
    </row>
    <row r="27" spans="1:19" s="41" customFormat="1" ht="13.8" x14ac:dyDescent="0.25">
      <c r="A27" s="39"/>
      <c r="B27" s="571"/>
      <c r="C27" s="571"/>
      <c r="D27" s="571"/>
      <c r="E27" s="571"/>
      <c r="F27" s="571"/>
      <c r="G27" s="571"/>
      <c r="H27" s="571"/>
      <c r="I27" s="571"/>
      <c r="J27" s="571"/>
      <c r="K27" s="571"/>
      <c r="L27" s="571"/>
      <c r="O27" s="15"/>
      <c r="P27" s="12"/>
      <c r="Q27" s="12"/>
      <c r="R27" s="12"/>
      <c r="S27" s="10"/>
    </row>
    <row r="28" spans="1:19" s="41" customFormat="1" ht="13.8" x14ac:dyDescent="0.25">
      <c r="A28" s="39"/>
      <c r="B28" s="571"/>
      <c r="C28" s="571"/>
      <c r="D28" s="571"/>
      <c r="E28" s="571"/>
      <c r="F28" s="571"/>
      <c r="G28" s="571"/>
      <c r="H28" s="571"/>
      <c r="I28" s="571"/>
      <c r="J28" s="571"/>
      <c r="K28" s="571"/>
      <c r="L28" s="571"/>
      <c r="O28" s="15"/>
      <c r="P28" s="12"/>
      <c r="Q28" s="12"/>
      <c r="R28" s="12"/>
      <c r="S28" s="10"/>
    </row>
    <row r="29" spans="1:19" s="41" customFormat="1" ht="13.8" x14ac:dyDescent="0.25">
      <c r="A29" s="39"/>
      <c r="B29" s="571"/>
      <c r="C29" s="571"/>
      <c r="D29" s="571"/>
      <c r="E29" s="571"/>
      <c r="F29" s="571"/>
      <c r="G29" s="571"/>
      <c r="H29" s="571"/>
      <c r="I29" s="571"/>
      <c r="J29" s="571"/>
      <c r="K29" s="571"/>
      <c r="L29" s="571"/>
      <c r="O29" s="15"/>
      <c r="P29" s="12"/>
      <c r="Q29" s="12"/>
      <c r="R29" s="12"/>
      <c r="S29" s="10"/>
    </row>
    <row r="30" spans="1:19" s="41" customFormat="1" ht="13.8" x14ac:dyDescent="0.25">
      <c r="A30" s="39"/>
      <c r="B30" s="571"/>
      <c r="C30" s="571"/>
      <c r="D30" s="571"/>
      <c r="E30" s="571"/>
      <c r="F30" s="571"/>
      <c r="G30" s="571"/>
      <c r="H30" s="571"/>
      <c r="I30" s="571"/>
      <c r="J30" s="571"/>
      <c r="K30" s="571"/>
      <c r="L30" s="571"/>
      <c r="O30" s="15"/>
      <c r="P30" s="12"/>
      <c r="Q30" s="12"/>
      <c r="R30" s="12"/>
      <c r="S30" s="10"/>
    </row>
    <row r="31" spans="1:19" s="41" customFormat="1" ht="13.8" x14ac:dyDescent="0.25">
      <c r="A31" s="39"/>
      <c r="B31" s="571"/>
      <c r="C31" s="571"/>
      <c r="D31" s="571"/>
      <c r="E31" s="571"/>
      <c r="F31" s="571"/>
      <c r="G31" s="571"/>
      <c r="H31" s="571"/>
      <c r="I31" s="571"/>
      <c r="J31" s="571"/>
      <c r="K31" s="571"/>
      <c r="L31" s="571"/>
      <c r="O31" s="15"/>
      <c r="P31" s="12"/>
      <c r="Q31" s="12"/>
      <c r="R31" s="12"/>
      <c r="S31" s="10"/>
    </row>
    <row r="32" spans="1:19" s="41" customFormat="1" ht="13.8" x14ac:dyDescent="0.25">
      <c r="A32" s="39"/>
      <c r="B32" s="571"/>
      <c r="C32" s="571"/>
      <c r="D32" s="571"/>
      <c r="E32" s="571"/>
      <c r="F32" s="571"/>
      <c r="G32" s="571"/>
      <c r="H32" s="571"/>
      <c r="I32" s="571"/>
      <c r="J32" s="571"/>
      <c r="K32" s="571"/>
      <c r="L32" s="571"/>
      <c r="O32" s="15"/>
      <c r="P32" s="12"/>
      <c r="Q32" s="12"/>
      <c r="R32" s="12"/>
      <c r="S32" s="10"/>
    </row>
    <row r="33" spans="1:23" s="41" customFormat="1" ht="13.8" x14ac:dyDescent="0.25">
      <c r="A33" s="39"/>
      <c r="B33" s="571"/>
      <c r="C33" s="571"/>
      <c r="D33" s="571"/>
      <c r="E33" s="571"/>
      <c r="F33" s="571"/>
      <c r="G33" s="571"/>
      <c r="H33" s="571"/>
      <c r="I33" s="571"/>
      <c r="J33" s="571"/>
      <c r="K33" s="571"/>
      <c r="L33" s="571"/>
      <c r="O33" s="15"/>
      <c r="P33" s="12"/>
      <c r="Q33" s="12"/>
      <c r="R33" s="12"/>
      <c r="S33" s="10"/>
    </row>
    <row r="34" spans="1:23" s="41" customFormat="1" ht="13.8" x14ac:dyDescent="0.25">
      <c r="A34" s="39"/>
      <c r="B34" s="573"/>
      <c r="C34" s="573"/>
      <c r="D34" s="573"/>
      <c r="E34" s="573"/>
      <c r="F34" s="573"/>
      <c r="G34" s="573"/>
      <c r="H34" s="573"/>
      <c r="I34" s="573"/>
      <c r="J34" s="573"/>
      <c r="K34" s="573"/>
      <c r="L34" s="573"/>
      <c r="O34" s="15"/>
      <c r="P34" s="12"/>
      <c r="Q34" s="12"/>
      <c r="R34" s="12"/>
      <c r="S34" s="10"/>
    </row>
    <row r="35" spans="1:23" s="41" customFormat="1" ht="15" customHeight="1" x14ac:dyDescent="0.25">
      <c r="A35" s="44"/>
      <c r="B35" s="44"/>
      <c r="C35" s="44"/>
      <c r="D35" s="44"/>
      <c r="E35" s="44"/>
      <c r="F35" s="44"/>
      <c r="G35" s="44"/>
      <c r="H35" s="45"/>
      <c r="I35" s="45"/>
      <c r="J35" s="46"/>
      <c r="K35" s="47"/>
      <c r="L35" s="47"/>
      <c r="M35" s="47"/>
      <c r="O35" s="15"/>
      <c r="P35" s="12"/>
      <c r="Q35" s="12"/>
      <c r="R35" s="12"/>
      <c r="S35" s="37"/>
    </row>
    <row r="36" spans="1:23" s="41" customFormat="1" ht="18" customHeight="1" x14ac:dyDescent="0.25">
      <c r="A36" s="68"/>
      <c r="B36" s="48" t="s">
        <v>26</v>
      </c>
      <c r="C36" s="68"/>
      <c r="D36" s="68"/>
      <c r="E36" s="68"/>
      <c r="F36" s="68"/>
      <c r="G36" s="68"/>
      <c r="H36" s="203"/>
      <c r="I36" s="203"/>
      <c r="J36" s="63"/>
      <c r="K36" s="176"/>
      <c r="L36" s="176"/>
      <c r="M36" s="176"/>
      <c r="O36" s="15"/>
      <c r="P36" s="12"/>
      <c r="Q36" s="12"/>
      <c r="R36" s="12"/>
      <c r="S36" s="37"/>
    </row>
    <row r="37" spans="1:23" s="41" customFormat="1" ht="13.8" x14ac:dyDescent="0.25">
      <c r="A37" s="43"/>
      <c r="B37" s="48"/>
      <c r="D37" s="42"/>
      <c r="E37" s="42"/>
      <c r="F37" s="42"/>
      <c r="G37" s="42"/>
      <c r="H37" s="53"/>
      <c r="I37" s="53" t="s">
        <v>27</v>
      </c>
      <c r="J37" s="42"/>
      <c r="L37" s="54" t="s">
        <v>28</v>
      </c>
      <c r="O37" s="15"/>
      <c r="P37" s="12"/>
      <c r="Q37" s="12"/>
      <c r="R37" s="12"/>
      <c r="S37" s="37"/>
    </row>
    <row r="38" spans="1:23" s="41" customFormat="1" ht="13.8" x14ac:dyDescent="0.25">
      <c r="A38" s="43"/>
      <c r="B38" s="55" t="s">
        <v>29</v>
      </c>
      <c r="C38" s="260" t="s">
        <v>372</v>
      </c>
      <c r="D38" s="253"/>
      <c r="E38" s="253"/>
      <c r="F38" s="253"/>
      <c r="G38" s="261"/>
      <c r="H38" s="261"/>
      <c r="I38" s="575" t="s">
        <v>19</v>
      </c>
      <c r="J38" s="575"/>
      <c r="K38" s="575"/>
      <c r="L38" s="462">
        <v>125000</v>
      </c>
      <c r="M38" s="331" t="s">
        <v>192</v>
      </c>
      <c r="O38" s="43"/>
      <c r="S38" s="40"/>
    </row>
    <row r="39" spans="1:23" s="41" customFormat="1" ht="13.8" x14ac:dyDescent="0.25">
      <c r="A39" s="43"/>
      <c r="B39" s="55" t="s">
        <v>30</v>
      </c>
      <c r="C39" s="260" t="s">
        <v>373</v>
      </c>
      <c r="D39" s="253"/>
      <c r="E39" s="253"/>
      <c r="F39" s="253"/>
      <c r="G39" s="261"/>
      <c r="H39" s="261"/>
      <c r="I39" s="575" t="s">
        <v>4</v>
      </c>
      <c r="J39" s="575"/>
      <c r="K39" s="575"/>
      <c r="L39" s="463">
        <v>50000</v>
      </c>
      <c r="M39" s="331" t="s">
        <v>192</v>
      </c>
      <c r="O39" s="43"/>
      <c r="S39" s="40"/>
    </row>
    <row r="40" spans="1:23" s="41" customFormat="1" ht="13.8" hidden="1" x14ac:dyDescent="0.25">
      <c r="A40" s="43"/>
      <c r="B40" s="55" t="s">
        <v>31</v>
      </c>
      <c r="C40" s="260"/>
      <c r="D40" s="253"/>
      <c r="E40" s="253"/>
      <c r="F40" s="253"/>
      <c r="G40" s="261"/>
      <c r="H40" s="261"/>
      <c r="I40" s="575"/>
      <c r="J40" s="575"/>
      <c r="K40" s="575"/>
      <c r="L40" s="220"/>
      <c r="M40" s="331" t="s">
        <v>192</v>
      </c>
      <c r="N40" s="331"/>
      <c r="O40" s="43"/>
      <c r="S40" s="40"/>
    </row>
    <row r="41" spans="1:23" s="41" customFormat="1" ht="13.8" hidden="1" x14ac:dyDescent="0.25">
      <c r="A41" s="43"/>
      <c r="B41" s="55" t="s">
        <v>32</v>
      </c>
      <c r="C41" s="260"/>
      <c r="D41" s="253"/>
      <c r="E41" s="253"/>
      <c r="F41" s="253"/>
      <c r="G41" s="261"/>
      <c r="H41" s="261"/>
      <c r="I41" s="575"/>
      <c r="J41" s="575"/>
      <c r="K41" s="575"/>
      <c r="L41" s="220"/>
      <c r="M41" s="331" t="s">
        <v>192</v>
      </c>
      <c r="N41" s="331"/>
      <c r="O41" s="43"/>
      <c r="S41" s="40"/>
    </row>
    <row r="42" spans="1:23" s="41" customFormat="1" ht="13.8" hidden="1" x14ac:dyDescent="0.25">
      <c r="A42" s="43"/>
      <c r="B42" s="55" t="s">
        <v>33</v>
      </c>
      <c r="C42" s="260"/>
      <c r="D42" s="253"/>
      <c r="E42" s="253"/>
      <c r="F42" s="253"/>
      <c r="G42" s="261"/>
      <c r="H42" s="261"/>
      <c r="I42" s="575"/>
      <c r="J42" s="575"/>
      <c r="K42" s="575"/>
      <c r="L42" s="220"/>
      <c r="M42" s="331" t="s">
        <v>192</v>
      </c>
      <c r="N42" s="331"/>
      <c r="O42" s="43"/>
      <c r="S42" s="40"/>
    </row>
    <row r="43" spans="1:23" s="62" customFormat="1" ht="14.4" thickBot="1" x14ac:dyDescent="0.3">
      <c r="A43" s="60"/>
      <c r="B43" s="61" t="s">
        <v>184</v>
      </c>
      <c r="E43" s="52"/>
      <c r="F43" s="52"/>
      <c r="G43" s="63"/>
      <c r="H43" s="51"/>
      <c r="I43" s="63"/>
      <c r="J43" s="42"/>
      <c r="L43" s="64">
        <f>SUM(L38:L42)</f>
        <v>175000</v>
      </c>
      <c r="M43" s="41"/>
      <c r="N43" s="41"/>
      <c r="O43" s="43"/>
      <c r="P43" s="41"/>
      <c r="Q43" s="41"/>
      <c r="R43" s="41"/>
      <c r="S43" s="40"/>
    </row>
    <row r="44" spans="1:23" s="41" customFormat="1" ht="8.25" customHeight="1" thickTop="1" x14ac:dyDescent="0.25">
      <c r="A44" s="65"/>
      <c r="B44" s="66"/>
      <c r="C44" s="66"/>
      <c r="D44" s="66"/>
      <c r="E44" s="66"/>
      <c r="F44" s="66"/>
      <c r="G44" s="66"/>
      <c r="H44" s="66"/>
      <c r="I44" s="66"/>
      <c r="J44" s="67"/>
      <c r="K44" s="67"/>
      <c r="L44" s="47"/>
      <c r="M44" s="47"/>
      <c r="O44" s="43"/>
      <c r="W44" s="40"/>
    </row>
    <row r="45" spans="1:23" s="41" customFormat="1" ht="3.75" customHeight="1" x14ac:dyDescent="0.25">
      <c r="A45" s="39"/>
      <c r="B45" s="68"/>
      <c r="C45" s="68"/>
      <c r="D45" s="68"/>
      <c r="E45" s="68"/>
      <c r="F45" s="68"/>
      <c r="G45" s="68"/>
      <c r="H45" s="68"/>
      <c r="I45" s="68"/>
      <c r="J45" s="69"/>
      <c r="K45" s="69"/>
      <c r="O45" s="43"/>
      <c r="W45" s="40"/>
    </row>
    <row r="46" spans="1:23" s="41" customFormat="1" ht="13.8" x14ac:dyDescent="0.25">
      <c r="A46" s="43"/>
      <c r="B46" s="6" t="s">
        <v>34</v>
      </c>
      <c r="C46" s="70"/>
      <c r="D46" s="70"/>
      <c r="E46" s="70"/>
      <c r="F46" s="70"/>
      <c r="G46" s="70"/>
      <c r="H46" s="70"/>
      <c r="I46" s="70"/>
      <c r="J46" s="89"/>
      <c r="K46" s="89"/>
      <c r="O46" s="43"/>
      <c r="W46" s="40"/>
    </row>
    <row r="47" spans="1:23" s="41" customFormat="1" ht="13.8" x14ac:dyDescent="0.25">
      <c r="A47" s="43"/>
      <c r="B47" s="578"/>
      <c r="C47" s="578"/>
      <c r="D47" s="578"/>
      <c r="E47" s="578"/>
      <c r="F47" s="578"/>
      <c r="G47" s="578"/>
      <c r="H47" s="578"/>
      <c r="I47" s="578"/>
      <c r="J47" s="578"/>
      <c r="K47" s="578"/>
      <c r="L47" s="578"/>
      <c r="O47" s="43"/>
      <c r="W47" s="40"/>
    </row>
    <row r="48" spans="1:23" s="41" customFormat="1" ht="13.8" x14ac:dyDescent="0.25">
      <c r="A48" s="43"/>
      <c r="B48" s="578"/>
      <c r="C48" s="578"/>
      <c r="D48" s="578"/>
      <c r="E48" s="578"/>
      <c r="F48" s="578"/>
      <c r="G48" s="578"/>
      <c r="H48" s="578"/>
      <c r="I48" s="578"/>
      <c r="J48" s="578"/>
      <c r="K48" s="578"/>
      <c r="L48" s="578"/>
      <c r="O48" s="43"/>
      <c r="W48" s="40"/>
    </row>
    <row r="49" spans="1:23" s="41" customFormat="1" ht="13.8" x14ac:dyDescent="0.25">
      <c r="A49" s="43"/>
      <c r="B49" s="578"/>
      <c r="C49" s="578"/>
      <c r="D49" s="578"/>
      <c r="E49" s="578"/>
      <c r="F49" s="578"/>
      <c r="G49" s="578"/>
      <c r="H49" s="578"/>
      <c r="I49" s="578"/>
      <c r="J49" s="578"/>
      <c r="K49" s="578"/>
      <c r="L49" s="578"/>
      <c r="O49" s="43"/>
      <c r="W49" s="40"/>
    </row>
    <row r="50" spans="1:23" s="41" customFormat="1" ht="8.25" customHeight="1" thickBot="1" x14ac:dyDescent="0.3">
      <c r="A50" s="77"/>
      <c r="B50" s="78"/>
      <c r="C50" s="78"/>
      <c r="D50" s="78"/>
      <c r="E50" s="78"/>
      <c r="F50" s="78"/>
      <c r="G50" s="78"/>
      <c r="H50" s="78"/>
      <c r="I50" s="78"/>
      <c r="J50" s="79"/>
      <c r="K50" s="79"/>
      <c r="L50" s="80"/>
      <c r="M50" s="80"/>
      <c r="O50" s="43"/>
      <c r="W50" s="40"/>
    </row>
    <row r="51" spans="1:23" s="41" customFormat="1" ht="6.75" customHeight="1" x14ac:dyDescent="0.25">
      <c r="A51" s="39"/>
      <c r="B51" s="68"/>
      <c r="C51" s="68"/>
      <c r="D51" s="68"/>
      <c r="E51" s="68"/>
      <c r="F51" s="68"/>
      <c r="G51" s="68"/>
      <c r="H51" s="68"/>
      <c r="I51" s="68"/>
      <c r="J51" s="69"/>
      <c r="K51" s="69"/>
      <c r="O51" s="43"/>
      <c r="W51" s="40"/>
    </row>
    <row r="52" spans="1:23" ht="13.8" x14ac:dyDescent="0.25">
      <c r="B52" s="48"/>
      <c r="L52" s="41"/>
      <c r="M52" s="41"/>
      <c r="N52" s="41"/>
      <c r="O52" s="43"/>
      <c r="P52" s="41"/>
      <c r="Q52" s="41"/>
      <c r="R52" s="41"/>
      <c r="S52" s="59"/>
    </row>
    <row r="53" spans="1:23" ht="15.6" x14ac:dyDescent="0.3">
      <c r="O53" s="71"/>
      <c r="P53" s="71"/>
      <c r="Q53" s="71"/>
      <c r="R53" s="71"/>
      <c r="S53" s="72"/>
    </row>
    <row r="54" spans="1:23" ht="15.6" x14ac:dyDescent="0.3">
      <c r="O54" s="71"/>
      <c r="P54" s="71"/>
      <c r="Q54" s="71"/>
      <c r="R54" s="71"/>
      <c r="S54" s="72"/>
    </row>
    <row r="55" spans="1:23" ht="15.6" x14ac:dyDescent="0.3">
      <c r="O55" s="71"/>
      <c r="P55" s="71"/>
      <c r="Q55" s="71"/>
      <c r="R55" s="71"/>
      <c r="S55" s="72"/>
    </row>
  </sheetData>
  <mergeCells count="7">
    <mergeCell ref="B47:L49"/>
    <mergeCell ref="I41:K41"/>
    <mergeCell ref="I42:K42"/>
    <mergeCell ref="B23:L34"/>
    <mergeCell ref="I39:K39"/>
    <mergeCell ref="I38:K38"/>
    <mergeCell ref="I40:K40"/>
  </mergeCells>
  <dataValidations count="2">
    <dataValidation type="list" allowBlank="1" showInputMessage="1" showErrorMessage="1" sqref="G38:G42">
      <formula1>$O$17:$O$19</formula1>
    </dataValidation>
    <dataValidation type="list" allowBlank="1" showInputMessage="1" showErrorMessage="1" sqref="I38:K42">
      <formula1>$O$3:$O$21</formula1>
    </dataValidation>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65"/>
  <sheetViews>
    <sheetView view="pageBreakPreview" zoomScale="60" zoomScaleNormal="100" workbookViewId="0">
      <selection activeCell="C67" sqref="C67"/>
    </sheetView>
  </sheetViews>
  <sheetFormatPr defaultColWidth="9.109375" defaultRowHeight="13.2" x14ac:dyDescent="0.25"/>
  <cols>
    <col min="1" max="1" width="0.88671875" style="83" customWidth="1"/>
    <col min="2" max="2" width="1.6640625" style="83" customWidth="1"/>
    <col min="3" max="3" width="20.5546875" style="83" customWidth="1"/>
    <col min="4" max="4" width="1.44140625" style="83" customWidth="1"/>
    <col min="5" max="7" width="11.109375" style="83" customWidth="1"/>
    <col min="8" max="8" width="2.33203125" style="83" customWidth="1"/>
    <col min="9" max="9" width="20.5546875" style="83" customWidth="1"/>
    <col min="10" max="12" width="12.109375" style="83" customWidth="1"/>
    <col min="13" max="13" width="2.33203125" style="83" customWidth="1"/>
    <col min="14" max="14" width="3.44140625" style="83" customWidth="1"/>
    <col min="15" max="15" width="4.88671875" style="12" customWidth="1"/>
    <col min="16" max="17" width="9.109375" style="12" customWidth="1"/>
    <col min="18" max="18" width="12.109375" style="12" customWidth="1"/>
    <col min="19" max="19" width="11" style="37" customWidth="1"/>
    <col min="20" max="16384" width="9.109375" style="83"/>
  </cols>
  <sheetData>
    <row r="1" spans="1:20" ht="15.6" x14ac:dyDescent="0.25">
      <c r="A1" s="1" t="s">
        <v>158</v>
      </c>
      <c r="B1" s="2"/>
      <c r="C1" s="2"/>
      <c r="D1" s="2"/>
      <c r="E1" s="2"/>
      <c r="F1" s="2"/>
      <c r="G1" s="2"/>
      <c r="H1" s="2"/>
      <c r="I1" s="2"/>
      <c r="J1" s="2"/>
      <c r="K1" s="2"/>
      <c r="L1" s="2"/>
      <c r="M1" s="2"/>
      <c r="O1" s="4"/>
      <c r="P1" s="4"/>
      <c r="Q1" s="4"/>
      <c r="R1" s="4"/>
      <c r="S1" s="5"/>
      <c r="T1" s="83" t="s">
        <v>227</v>
      </c>
    </row>
    <row r="2" spans="1:20" ht="5.25" customHeight="1" x14ac:dyDescent="0.25">
      <c r="B2" s="6"/>
      <c r="C2" s="6"/>
      <c r="D2" s="6"/>
      <c r="E2" s="6"/>
      <c r="F2" s="6"/>
      <c r="G2" s="6"/>
      <c r="O2" s="8"/>
      <c r="P2" s="8"/>
      <c r="Q2" s="8"/>
      <c r="R2" s="8"/>
      <c r="S2" s="9"/>
    </row>
    <row r="3" spans="1:20" ht="13.8" x14ac:dyDescent="0.25">
      <c r="B3" s="48" t="s">
        <v>1</v>
      </c>
      <c r="C3" s="3"/>
      <c r="D3" s="11"/>
      <c r="E3" s="81">
        <v>2012</v>
      </c>
      <c r="F3" s="81">
        <v>2013</v>
      </c>
      <c r="G3" s="81">
        <v>2014</v>
      </c>
      <c r="I3" s="84"/>
      <c r="J3" s="81">
        <v>2012</v>
      </c>
      <c r="K3" s="81">
        <v>2013</v>
      </c>
      <c r="L3" s="81">
        <v>2014</v>
      </c>
      <c r="O3" s="7" t="s">
        <v>2</v>
      </c>
      <c r="P3" s="3"/>
      <c r="Q3" s="3"/>
      <c r="R3" s="3"/>
      <c r="S3" s="10">
        <f t="shared" ref="S3:S21" si="0">SUMIF(I:I,O3,L:L)</f>
        <v>0</v>
      </c>
    </row>
    <row r="4" spans="1:20" x14ac:dyDescent="0.25">
      <c r="B4" s="82"/>
      <c r="C4" s="38"/>
      <c r="D4" s="13"/>
      <c r="E4" s="14" t="s">
        <v>35</v>
      </c>
      <c r="F4" s="14" t="s">
        <v>35</v>
      </c>
      <c r="G4" s="14" t="s">
        <v>35</v>
      </c>
      <c r="I4" s="85"/>
      <c r="J4" s="14" t="s">
        <v>41</v>
      </c>
      <c r="K4" s="14" t="s">
        <v>41</v>
      </c>
      <c r="L4" s="14" t="s">
        <v>41</v>
      </c>
      <c r="O4" s="7" t="s">
        <v>3</v>
      </c>
      <c r="P4" s="3"/>
      <c r="Q4" s="3"/>
      <c r="R4" s="3"/>
      <c r="S4" s="10">
        <f t="shared" si="0"/>
        <v>0</v>
      </c>
    </row>
    <row r="5" spans="1:20" x14ac:dyDescent="0.25">
      <c r="B5" s="16" t="s">
        <v>36</v>
      </c>
      <c r="C5" s="17"/>
      <c r="D5" s="12"/>
      <c r="E5" s="18">
        <v>6467384</v>
      </c>
      <c r="F5" s="18">
        <v>6669110</v>
      </c>
      <c r="G5" s="18">
        <v>7060481.2199999997</v>
      </c>
      <c r="I5" s="86" t="s">
        <v>38</v>
      </c>
      <c r="J5" s="73"/>
      <c r="K5" s="73"/>
      <c r="L5" s="73">
        <v>0</v>
      </c>
      <c r="O5" s="15" t="s">
        <v>4</v>
      </c>
      <c r="S5" s="10">
        <f t="shared" si="0"/>
        <v>0</v>
      </c>
    </row>
    <row r="6" spans="1:20" x14ac:dyDescent="0.25">
      <c r="B6" s="16" t="s">
        <v>7</v>
      </c>
      <c r="C6" s="17"/>
      <c r="D6" s="12"/>
      <c r="E6" s="18">
        <v>5128337</v>
      </c>
      <c r="F6" s="18">
        <v>5322836</v>
      </c>
      <c r="G6" s="18">
        <f>+G5-1299455</f>
        <v>5761026.2199999997</v>
      </c>
      <c r="I6" s="87" t="s">
        <v>39</v>
      </c>
      <c r="J6" s="18">
        <v>71000</v>
      </c>
      <c r="K6" s="18">
        <v>65000</v>
      </c>
      <c r="L6" s="18">
        <v>43000</v>
      </c>
      <c r="O6" s="15" t="s">
        <v>6</v>
      </c>
      <c r="S6" s="10">
        <f t="shared" si="0"/>
        <v>0</v>
      </c>
    </row>
    <row r="7" spans="1:20" x14ac:dyDescent="0.25">
      <c r="B7" s="21" t="s">
        <v>9</v>
      </c>
      <c r="C7" s="22"/>
      <c r="D7" s="23"/>
      <c r="E7" s="24">
        <v>5050730</v>
      </c>
      <c r="F7" s="24">
        <v>5272024</v>
      </c>
      <c r="G7" s="24">
        <f>G6-L6</f>
        <v>5718026.2199999997</v>
      </c>
      <c r="I7" s="87" t="s">
        <v>40</v>
      </c>
      <c r="J7" s="18">
        <v>68000</v>
      </c>
      <c r="K7" s="18">
        <v>45000</v>
      </c>
      <c r="L7" s="18">
        <f>+L47</f>
        <v>36000</v>
      </c>
      <c r="O7" s="15" t="s">
        <v>8</v>
      </c>
      <c r="P7" s="20"/>
      <c r="S7" s="10">
        <f t="shared" si="0"/>
        <v>0</v>
      </c>
    </row>
    <row r="8" spans="1:20" x14ac:dyDescent="0.25">
      <c r="B8" s="26" t="s">
        <v>11</v>
      </c>
      <c r="C8" s="27"/>
      <c r="D8" s="28"/>
      <c r="E8" s="29">
        <v>77607</v>
      </c>
      <c r="F8" s="29">
        <v>50812</v>
      </c>
      <c r="G8" s="29">
        <f>G6-G7</f>
        <v>43000</v>
      </c>
      <c r="I8" s="88" t="s">
        <v>43</v>
      </c>
      <c r="J8" s="74">
        <f>E8</f>
        <v>77607</v>
      </c>
      <c r="K8" s="74">
        <f>F8</f>
        <v>50812</v>
      </c>
      <c r="L8" s="74"/>
      <c r="O8" s="15" t="s">
        <v>10</v>
      </c>
      <c r="P8" s="25"/>
      <c r="S8" s="10">
        <f t="shared" si="0"/>
        <v>0</v>
      </c>
    </row>
    <row r="9" spans="1:20" x14ac:dyDescent="0.25">
      <c r="B9" s="32" t="s">
        <v>37</v>
      </c>
      <c r="C9" s="33"/>
      <c r="D9" s="23"/>
      <c r="E9" s="34">
        <f>IF(ISERROR(IF(E8=0,"",(E8/$E$5))),"",(IF(E8=0,"",(E8/$E$5))))</f>
        <v>1.1999751367786419E-2</v>
      </c>
      <c r="F9" s="34">
        <f>IF(ISERROR(IF(F8=0,"",(F8/$F$5))),"",(IF(F8=0,"",(F8/$F$5))))</f>
        <v>7.6190076337022484E-3</v>
      </c>
      <c r="G9" s="34">
        <f>IF(ISERROR(IF(G8=0,"",(G8/$G$5))),"",(IF(G8=0,"",(G8/$G$5))))</f>
        <v>6.090236438586547E-3</v>
      </c>
      <c r="I9" s="83" t="s">
        <v>42</v>
      </c>
      <c r="O9" s="15" t="s">
        <v>12</v>
      </c>
      <c r="P9" s="30"/>
      <c r="Q9" s="19"/>
      <c r="R9" s="31"/>
      <c r="S9" s="10">
        <f t="shared" si="0"/>
        <v>0</v>
      </c>
    </row>
    <row r="10" spans="1:20" x14ac:dyDescent="0.25">
      <c r="O10" s="15" t="s">
        <v>13</v>
      </c>
      <c r="P10" s="35"/>
      <c r="Q10" s="19"/>
      <c r="S10" s="10">
        <f t="shared" si="0"/>
        <v>0</v>
      </c>
    </row>
    <row r="11" spans="1:20" x14ac:dyDescent="0.25">
      <c r="O11" s="15" t="s">
        <v>14</v>
      </c>
      <c r="P11" s="36"/>
      <c r="Q11" s="36"/>
      <c r="S11" s="10">
        <f t="shared" si="0"/>
        <v>0</v>
      </c>
    </row>
    <row r="12" spans="1:20" x14ac:dyDescent="0.25">
      <c r="O12" s="15" t="s">
        <v>15</v>
      </c>
      <c r="P12" s="36"/>
      <c r="Q12" s="36"/>
      <c r="S12" s="10">
        <f t="shared" si="0"/>
        <v>0</v>
      </c>
    </row>
    <row r="13" spans="1:20" x14ac:dyDescent="0.25">
      <c r="O13" s="15" t="s">
        <v>16</v>
      </c>
      <c r="P13" s="36"/>
      <c r="Q13" s="36"/>
      <c r="S13" s="10">
        <f t="shared" si="0"/>
        <v>0</v>
      </c>
    </row>
    <row r="14" spans="1:20" x14ac:dyDescent="0.25">
      <c r="O14" s="15" t="s">
        <v>17</v>
      </c>
      <c r="P14" s="36"/>
      <c r="Q14" s="36"/>
      <c r="S14" s="10">
        <f t="shared" si="0"/>
        <v>82000</v>
      </c>
    </row>
    <row r="15" spans="1:20" x14ac:dyDescent="0.25">
      <c r="O15" s="15" t="s">
        <v>18</v>
      </c>
      <c r="P15" s="36"/>
      <c r="Q15" s="36"/>
      <c r="S15" s="10">
        <f t="shared" si="0"/>
        <v>-60000</v>
      </c>
    </row>
    <row r="16" spans="1:20" x14ac:dyDescent="0.25">
      <c r="O16" s="15" t="s">
        <v>19</v>
      </c>
      <c r="P16" s="36"/>
      <c r="Q16" s="36"/>
      <c r="S16" s="10">
        <f t="shared" si="0"/>
        <v>14000</v>
      </c>
    </row>
    <row r="17" spans="1:19" x14ac:dyDescent="0.25">
      <c r="O17" s="15" t="s">
        <v>20</v>
      </c>
      <c r="P17" s="36"/>
      <c r="Q17" s="36"/>
      <c r="S17" s="10">
        <f t="shared" si="0"/>
        <v>0</v>
      </c>
    </row>
    <row r="18" spans="1:19" x14ac:dyDescent="0.25">
      <c r="O18" s="12" t="s">
        <v>21</v>
      </c>
      <c r="S18" s="10">
        <f t="shared" si="0"/>
        <v>0</v>
      </c>
    </row>
    <row r="19" spans="1:19" x14ac:dyDescent="0.25">
      <c r="O19" s="15" t="s">
        <v>22</v>
      </c>
      <c r="S19" s="10">
        <f t="shared" si="0"/>
        <v>0</v>
      </c>
    </row>
    <row r="20" spans="1:19" x14ac:dyDescent="0.25">
      <c r="O20" s="15" t="s">
        <v>23</v>
      </c>
      <c r="S20" s="10">
        <f t="shared" si="0"/>
        <v>0</v>
      </c>
    </row>
    <row r="21" spans="1:19" ht="11.25" customHeight="1" x14ac:dyDescent="0.25">
      <c r="O21" s="15" t="s">
        <v>24</v>
      </c>
      <c r="S21" s="10">
        <f t="shared" si="0"/>
        <v>0</v>
      </c>
    </row>
    <row r="22" spans="1:19" s="41" customFormat="1" ht="13.8" x14ac:dyDescent="0.25">
      <c r="A22" s="39"/>
      <c r="B22" s="6" t="s">
        <v>25</v>
      </c>
      <c r="C22" s="6"/>
      <c r="D22" s="6"/>
      <c r="E22" s="6"/>
      <c r="F22" s="6"/>
      <c r="G22" s="6"/>
      <c r="H22" s="40"/>
      <c r="I22" s="40"/>
      <c r="K22" s="42"/>
      <c r="O22" s="15" t="s">
        <v>44</v>
      </c>
      <c r="P22" s="12"/>
      <c r="Q22" s="12"/>
      <c r="R22" s="12"/>
      <c r="S22" s="37">
        <f>SUM(S3:S21)</f>
        <v>36000</v>
      </c>
    </row>
    <row r="23" spans="1:19" s="41" customFormat="1" ht="15" customHeight="1" x14ac:dyDescent="0.25">
      <c r="A23" s="39"/>
      <c r="B23" s="572" t="s">
        <v>383</v>
      </c>
      <c r="C23" s="572"/>
      <c r="D23" s="572"/>
      <c r="E23" s="572"/>
      <c r="F23" s="572"/>
      <c r="G23" s="572"/>
      <c r="H23" s="572"/>
      <c r="I23" s="572"/>
      <c r="J23" s="572"/>
      <c r="K23" s="572"/>
      <c r="L23" s="572"/>
      <c r="O23" s="15"/>
      <c r="P23" s="12"/>
      <c r="Q23" s="12"/>
      <c r="R23" s="12"/>
      <c r="S23" s="10"/>
    </row>
    <row r="24" spans="1:19" s="41" customFormat="1" ht="15" customHeight="1" x14ac:dyDescent="0.25">
      <c r="A24" s="39"/>
      <c r="B24" s="572"/>
      <c r="C24" s="572"/>
      <c r="D24" s="572"/>
      <c r="E24" s="572"/>
      <c r="F24" s="572"/>
      <c r="G24" s="572"/>
      <c r="H24" s="572"/>
      <c r="I24" s="572"/>
      <c r="J24" s="572"/>
      <c r="K24" s="572"/>
      <c r="L24" s="572"/>
      <c r="O24" s="15"/>
      <c r="P24" s="12"/>
      <c r="Q24" s="12"/>
      <c r="R24" s="12"/>
      <c r="S24" s="10"/>
    </row>
    <row r="25" spans="1:19" s="41" customFormat="1" ht="15" customHeight="1" x14ac:dyDescent="0.25">
      <c r="A25" s="39"/>
      <c r="B25" s="572"/>
      <c r="C25" s="572"/>
      <c r="D25" s="572"/>
      <c r="E25" s="572"/>
      <c r="F25" s="572"/>
      <c r="G25" s="572"/>
      <c r="H25" s="572"/>
      <c r="I25" s="572"/>
      <c r="J25" s="572"/>
      <c r="K25" s="572"/>
      <c r="L25" s="572"/>
      <c r="O25" s="15"/>
      <c r="P25" s="12"/>
      <c r="Q25" s="12"/>
      <c r="R25" s="12"/>
      <c r="S25" s="10"/>
    </row>
    <row r="26" spans="1:19" s="41" customFormat="1" ht="15" customHeight="1" x14ac:dyDescent="0.25">
      <c r="A26" s="39"/>
      <c r="B26" s="572"/>
      <c r="C26" s="572"/>
      <c r="D26" s="572"/>
      <c r="E26" s="572"/>
      <c r="F26" s="572"/>
      <c r="G26" s="572"/>
      <c r="H26" s="572"/>
      <c r="I26" s="572"/>
      <c r="J26" s="572"/>
      <c r="K26" s="572"/>
      <c r="L26" s="572"/>
      <c r="O26" s="15"/>
      <c r="P26" s="12"/>
      <c r="Q26" s="12"/>
      <c r="R26" s="12"/>
      <c r="S26" s="10"/>
    </row>
    <row r="27" spans="1:19" s="41" customFormat="1" ht="15" customHeight="1" x14ac:dyDescent="0.25">
      <c r="A27" s="39"/>
      <c r="B27" s="572"/>
      <c r="C27" s="572"/>
      <c r="D27" s="572"/>
      <c r="E27" s="572"/>
      <c r="F27" s="572"/>
      <c r="G27" s="572"/>
      <c r="H27" s="572"/>
      <c r="I27" s="572"/>
      <c r="J27" s="572"/>
      <c r="K27" s="572"/>
      <c r="L27" s="572"/>
      <c r="O27" s="15"/>
      <c r="P27" s="12"/>
      <c r="Q27" s="12"/>
      <c r="R27" s="12"/>
      <c r="S27" s="10"/>
    </row>
    <row r="28" spans="1:19" s="41" customFormat="1" ht="15" customHeight="1" x14ac:dyDescent="0.25">
      <c r="A28" s="39"/>
      <c r="B28" s="572"/>
      <c r="C28" s="572"/>
      <c r="D28" s="572"/>
      <c r="E28" s="572"/>
      <c r="F28" s="572"/>
      <c r="G28" s="572"/>
      <c r="H28" s="572"/>
      <c r="I28" s="572"/>
      <c r="J28" s="572"/>
      <c r="K28" s="572"/>
      <c r="L28" s="572"/>
      <c r="O28" s="15"/>
      <c r="P28" s="12"/>
      <c r="Q28" s="12"/>
      <c r="R28" s="12"/>
      <c r="S28" s="10"/>
    </row>
    <row r="29" spans="1:19" s="41" customFormat="1" ht="15" customHeight="1" x14ac:dyDescent="0.25">
      <c r="A29" s="39"/>
      <c r="B29" s="572"/>
      <c r="C29" s="572"/>
      <c r="D29" s="572"/>
      <c r="E29" s="572"/>
      <c r="F29" s="572"/>
      <c r="G29" s="572"/>
      <c r="H29" s="572"/>
      <c r="I29" s="572"/>
      <c r="J29" s="572"/>
      <c r="K29" s="572"/>
      <c r="L29" s="572"/>
      <c r="O29" s="15"/>
      <c r="P29" s="12"/>
      <c r="Q29" s="12"/>
      <c r="R29" s="12"/>
      <c r="S29" s="10"/>
    </row>
    <row r="30" spans="1:19" s="41" customFormat="1" ht="15" customHeight="1" x14ac:dyDescent="0.25">
      <c r="A30" s="39"/>
      <c r="B30" s="572"/>
      <c r="C30" s="572"/>
      <c r="D30" s="572"/>
      <c r="E30" s="572"/>
      <c r="F30" s="572"/>
      <c r="G30" s="572"/>
      <c r="H30" s="572"/>
      <c r="I30" s="572"/>
      <c r="J30" s="572"/>
      <c r="K30" s="572"/>
      <c r="L30" s="572"/>
      <c r="O30" s="15"/>
      <c r="P30" s="12"/>
      <c r="Q30" s="12"/>
      <c r="R30" s="12"/>
      <c r="S30" s="10"/>
    </row>
    <row r="31" spans="1:19" s="41" customFormat="1" ht="15" customHeight="1" x14ac:dyDescent="0.25">
      <c r="A31" s="39"/>
      <c r="B31" s="572"/>
      <c r="C31" s="572"/>
      <c r="D31" s="572"/>
      <c r="E31" s="572"/>
      <c r="F31" s="572"/>
      <c r="G31" s="572"/>
      <c r="H31" s="572"/>
      <c r="I31" s="572"/>
      <c r="J31" s="572"/>
      <c r="K31" s="572"/>
      <c r="L31" s="572"/>
      <c r="O31" s="15"/>
      <c r="P31" s="12"/>
      <c r="Q31" s="12"/>
      <c r="R31" s="12"/>
      <c r="S31" s="10"/>
    </row>
    <row r="32" spans="1:19" s="41" customFormat="1" ht="15" customHeight="1" x14ac:dyDescent="0.25">
      <c r="A32" s="39"/>
      <c r="B32" s="572"/>
      <c r="C32" s="572"/>
      <c r="D32" s="572"/>
      <c r="E32" s="572"/>
      <c r="F32" s="572"/>
      <c r="G32" s="572"/>
      <c r="H32" s="572"/>
      <c r="I32" s="572"/>
      <c r="J32" s="572"/>
      <c r="K32" s="572"/>
      <c r="L32" s="572"/>
      <c r="O32" s="15"/>
      <c r="P32" s="12"/>
      <c r="Q32" s="12"/>
      <c r="R32" s="12"/>
      <c r="S32" s="10"/>
    </row>
    <row r="33" spans="1:23" s="41" customFormat="1" ht="15" customHeight="1" x14ac:dyDescent="0.25">
      <c r="A33" s="39"/>
      <c r="B33" s="572"/>
      <c r="C33" s="572"/>
      <c r="D33" s="572"/>
      <c r="E33" s="572"/>
      <c r="F33" s="572"/>
      <c r="G33" s="572"/>
      <c r="H33" s="572"/>
      <c r="I33" s="572"/>
      <c r="J33" s="572"/>
      <c r="K33" s="572"/>
      <c r="L33" s="572"/>
      <c r="O33" s="15"/>
      <c r="P33" s="12"/>
      <c r="Q33" s="12"/>
      <c r="R33" s="12"/>
      <c r="S33" s="10"/>
    </row>
    <row r="34" spans="1:23" s="41" customFormat="1" ht="15" customHeight="1" x14ac:dyDescent="0.25">
      <c r="A34" s="39"/>
      <c r="B34" s="572"/>
      <c r="C34" s="572"/>
      <c r="D34" s="572"/>
      <c r="E34" s="572"/>
      <c r="F34" s="572"/>
      <c r="G34" s="572"/>
      <c r="H34" s="572"/>
      <c r="I34" s="572"/>
      <c r="J34" s="572"/>
      <c r="K34" s="572"/>
      <c r="L34" s="572"/>
      <c r="O34" s="15"/>
      <c r="P34" s="12"/>
      <c r="Q34" s="12"/>
      <c r="R34" s="12"/>
      <c r="S34" s="10"/>
    </row>
    <row r="35" spans="1:23" s="41" customFormat="1" ht="15" customHeight="1" x14ac:dyDescent="0.25">
      <c r="A35" s="39"/>
      <c r="B35" s="572"/>
      <c r="C35" s="572"/>
      <c r="D35" s="572"/>
      <c r="E35" s="572"/>
      <c r="F35" s="572"/>
      <c r="G35" s="572"/>
      <c r="H35" s="572"/>
      <c r="I35" s="572"/>
      <c r="J35" s="572"/>
      <c r="K35" s="572"/>
      <c r="L35" s="572"/>
      <c r="O35" s="15"/>
      <c r="P35" s="12"/>
      <c r="Q35" s="12"/>
      <c r="R35" s="12"/>
      <c r="S35" s="10"/>
    </row>
    <row r="36" spans="1:23" s="41" customFormat="1" ht="15" customHeight="1" x14ac:dyDescent="0.25">
      <c r="A36" s="39"/>
      <c r="B36" s="572"/>
      <c r="C36" s="572"/>
      <c r="D36" s="572"/>
      <c r="E36" s="572"/>
      <c r="F36" s="572"/>
      <c r="G36" s="572"/>
      <c r="H36" s="572"/>
      <c r="I36" s="572"/>
      <c r="J36" s="572"/>
      <c r="K36" s="572"/>
      <c r="L36" s="572"/>
      <c r="O36" s="15"/>
      <c r="P36" s="12"/>
      <c r="Q36" s="12"/>
      <c r="R36" s="12"/>
      <c r="S36" s="10"/>
    </row>
    <row r="37" spans="1:23" s="41" customFormat="1" ht="15" customHeight="1" x14ac:dyDescent="0.25">
      <c r="A37" s="39"/>
      <c r="B37" s="572"/>
      <c r="C37" s="572"/>
      <c r="D37" s="572"/>
      <c r="E37" s="572"/>
      <c r="F37" s="572"/>
      <c r="G37" s="572"/>
      <c r="H37" s="572"/>
      <c r="I37" s="572"/>
      <c r="J37" s="572"/>
      <c r="K37" s="572"/>
      <c r="L37" s="572"/>
      <c r="O37" s="15"/>
      <c r="P37" s="12"/>
      <c r="Q37" s="12"/>
      <c r="R37" s="12"/>
      <c r="S37" s="10"/>
    </row>
    <row r="38" spans="1:23" s="41" customFormat="1" ht="13.8" x14ac:dyDescent="0.25">
      <c r="A38" s="75"/>
      <c r="B38" s="576"/>
      <c r="C38" s="576"/>
      <c r="D38" s="576"/>
      <c r="E38" s="576"/>
      <c r="F38" s="576"/>
      <c r="G38" s="576"/>
      <c r="H38" s="576"/>
      <c r="I38" s="576"/>
      <c r="J38" s="576"/>
      <c r="K38" s="576"/>
      <c r="L38" s="576"/>
      <c r="O38" s="15"/>
      <c r="P38" s="12"/>
      <c r="Q38" s="12"/>
      <c r="R38" s="12"/>
      <c r="S38" s="10"/>
    </row>
    <row r="39" spans="1:23" s="41" customFormat="1" ht="5.25" customHeight="1" x14ac:dyDescent="0.25">
      <c r="A39" s="44"/>
      <c r="B39" s="44"/>
      <c r="C39" s="44"/>
      <c r="D39" s="44"/>
      <c r="E39" s="44"/>
      <c r="F39" s="44"/>
      <c r="G39" s="44"/>
      <c r="H39" s="45"/>
      <c r="I39" s="45"/>
      <c r="J39" s="46"/>
      <c r="K39" s="47"/>
      <c r="L39" s="47"/>
      <c r="M39" s="47"/>
      <c r="O39" s="15"/>
      <c r="P39" s="12"/>
      <c r="Q39" s="12"/>
      <c r="R39" s="12"/>
      <c r="S39" s="37"/>
    </row>
    <row r="40" spans="1:23" s="41" customFormat="1" ht="13.8" x14ac:dyDescent="0.25">
      <c r="A40" s="43"/>
      <c r="B40" s="48" t="s">
        <v>26</v>
      </c>
      <c r="D40" s="42"/>
      <c r="E40" s="42"/>
      <c r="F40" s="42"/>
      <c r="G40" s="42"/>
      <c r="H40" s="49"/>
      <c r="I40" s="50"/>
      <c r="J40" s="51"/>
      <c r="K40" s="51"/>
      <c r="O40" s="15"/>
      <c r="P40" s="12"/>
      <c r="Q40" s="12"/>
      <c r="R40" s="12"/>
      <c r="S40" s="37"/>
    </row>
    <row r="41" spans="1:23" s="41" customFormat="1" ht="13.8" x14ac:dyDescent="0.25">
      <c r="A41" s="43"/>
      <c r="B41" s="52"/>
      <c r="D41" s="42"/>
      <c r="E41" s="42"/>
      <c r="F41" s="42"/>
      <c r="G41" s="42"/>
      <c r="H41" s="53"/>
      <c r="I41" s="53" t="s">
        <v>27</v>
      </c>
      <c r="J41" s="42"/>
      <c r="L41" s="54" t="s">
        <v>28</v>
      </c>
      <c r="O41" s="15"/>
      <c r="P41" s="12"/>
      <c r="Q41" s="12"/>
      <c r="R41" s="12"/>
      <c r="S41" s="37"/>
    </row>
    <row r="42" spans="1:23" s="41" customFormat="1" ht="13.8" x14ac:dyDescent="0.25">
      <c r="A42" s="43"/>
      <c r="B42" s="55" t="s">
        <v>29</v>
      </c>
      <c r="C42" s="260" t="s">
        <v>316</v>
      </c>
      <c r="D42" s="492"/>
      <c r="E42" s="253"/>
      <c r="F42" s="253"/>
      <c r="G42" s="261"/>
      <c r="H42" s="261"/>
      <c r="I42" s="575" t="s">
        <v>17</v>
      </c>
      <c r="J42" s="575"/>
      <c r="K42" s="575"/>
      <c r="L42" s="500">
        <v>82000</v>
      </c>
      <c r="M42" s="331"/>
      <c r="O42" s="43"/>
      <c r="S42" s="40"/>
    </row>
    <row r="43" spans="1:23" s="41" customFormat="1" ht="13.8" x14ac:dyDescent="0.25">
      <c r="A43" s="43"/>
      <c r="B43" s="55" t="s">
        <v>30</v>
      </c>
      <c r="C43" s="260" t="s">
        <v>212</v>
      </c>
      <c r="D43" s="492"/>
      <c r="E43" s="253"/>
      <c r="F43" s="253"/>
      <c r="G43" s="261"/>
      <c r="H43" s="261"/>
      <c r="I43" s="575" t="s">
        <v>19</v>
      </c>
      <c r="J43" s="575"/>
      <c r="K43" s="575"/>
      <c r="L43" s="220">
        <v>14000</v>
      </c>
      <c r="M43" s="331"/>
      <c r="O43" s="43"/>
      <c r="S43" s="40"/>
    </row>
    <row r="44" spans="1:23" s="41" customFormat="1" ht="13.8" x14ac:dyDescent="0.25">
      <c r="A44" s="43"/>
      <c r="B44" s="55" t="s">
        <v>31</v>
      </c>
      <c r="C44" s="260" t="s">
        <v>317</v>
      </c>
      <c r="D44" s="492"/>
      <c r="E44" s="253"/>
      <c r="F44" s="253"/>
      <c r="G44" s="261"/>
      <c r="H44" s="261"/>
      <c r="I44" s="575" t="s">
        <v>18</v>
      </c>
      <c r="J44" s="575"/>
      <c r="K44" s="575"/>
      <c r="L44" s="220">
        <v>-60000</v>
      </c>
      <c r="M44" s="331"/>
      <c r="O44" s="43"/>
      <c r="S44" s="40"/>
    </row>
    <row r="45" spans="1:23" s="41" customFormat="1" ht="13.8" hidden="1" x14ac:dyDescent="0.25">
      <c r="A45" s="43"/>
      <c r="B45" s="55" t="s">
        <v>32</v>
      </c>
      <c r="C45" s="260"/>
      <c r="D45" s="253"/>
      <c r="E45" s="253"/>
      <c r="F45" s="253"/>
      <c r="G45" s="261"/>
      <c r="H45" s="261"/>
      <c r="I45" s="575"/>
      <c r="J45" s="575"/>
      <c r="K45" s="575"/>
      <c r="L45" s="220"/>
      <c r="M45" s="331"/>
      <c r="O45" s="43"/>
      <c r="S45" s="40"/>
    </row>
    <row r="46" spans="1:23" s="41" customFormat="1" ht="13.8" hidden="1" x14ac:dyDescent="0.25">
      <c r="A46" s="43"/>
      <c r="B46" s="55" t="s">
        <v>33</v>
      </c>
      <c r="C46" s="260"/>
      <c r="D46" s="253"/>
      <c r="E46" s="253"/>
      <c r="F46" s="253"/>
      <c r="G46" s="261"/>
      <c r="H46" s="261"/>
      <c r="I46" s="575"/>
      <c r="J46" s="575"/>
      <c r="K46" s="575"/>
      <c r="L46" s="220"/>
      <c r="M46" s="331"/>
      <c r="O46" s="43"/>
      <c r="S46" s="40"/>
    </row>
    <row r="47" spans="1:23" s="62" customFormat="1" ht="14.4" thickBot="1" x14ac:dyDescent="0.3">
      <c r="A47" s="60"/>
      <c r="B47" s="61" t="s">
        <v>184</v>
      </c>
      <c r="E47" s="52"/>
      <c r="F47" s="52"/>
      <c r="G47" s="63"/>
      <c r="H47" s="51"/>
      <c r="I47" s="63"/>
      <c r="J47" s="42"/>
      <c r="L47" s="64">
        <f>SUM(L42:L46)</f>
        <v>36000</v>
      </c>
      <c r="M47" s="41"/>
      <c r="N47" s="41"/>
      <c r="O47" s="43"/>
      <c r="P47" s="41"/>
      <c r="Q47" s="41"/>
      <c r="R47" s="41"/>
      <c r="S47" s="40"/>
    </row>
    <row r="48" spans="1:23" s="41" customFormat="1" ht="8.25" customHeight="1" thickTop="1" x14ac:dyDescent="0.25">
      <c r="A48" s="65"/>
      <c r="B48" s="66"/>
      <c r="C48" s="66"/>
      <c r="D48" s="66"/>
      <c r="E48" s="66"/>
      <c r="F48" s="66"/>
      <c r="G48" s="66"/>
      <c r="H48" s="66"/>
      <c r="I48" s="66"/>
      <c r="J48" s="67"/>
      <c r="K48" s="67"/>
      <c r="L48" s="47"/>
      <c r="M48" s="47"/>
      <c r="O48" s="43"/>
      <c r="W48" s="40"/>
    </row>
    <row r="49" spans="1:23" s="41" customFormat="1" ht="3.75" customHeight="1" x14ac:dyDescent="0.25">
      <c r="A49" s="39"/>
      <c r="B49" s="68"/>
      <c r="C49" s="68"/>
      <c r="D49" s="68"/>
      <c r="E49" s="68"/>
      <c r="F49" s="68"/>
      <c r="G49" s="68"/>
      <c r="H49" s="68"/>
      <c r="I49" s="68"/>
      <c r="J49" s="69"/>
      <c r="K49" s="69"/>
      <c r="O49" s="43"/>
      <c r="W49" s="40"/>
    </row>
    <row r="50" spans="1:23" s="41" customFormat="1" ht="13.8" x14ac:dyDescent="0.25">
      <c r="A50" s="43"/>
      <c r="B50" s="6" t="s">
        <v>34</v>
      </c>
      <c r="C50" s="70"/>
      <c r="D50" s="70"/>
      <c r="E50" s="70"/>
      <c r="F50" s="70"/>
      <c r="G50" s="70"/>
      <c r="H50" s="70"/>
      <c r="I50" s="70"/>
      <c r="J50" s="89"/>
      <c r="K50" s="89"/>
      <c r="O50" s="43"/>
      <c r="W50" s="40"/>
    </row>
    <row r="51" spans="1:23" s="41" customFormat="1" ht="15" customHeight="1" x14ac:dyDescent="0.25">
      <c r="A51" s="43"/>
      <c r="B51" s="572"/>
      <c r="C51" s="572"/>
      <c r="D51" s="572"/>
      <c r="E51" s="572"/>
      <c r="F51" s="572"/>
      <c r="G51" s="572"/>
      <c r="H51" s="572"/>
      <c r="I51" s="572"/>
      <c r="J51" s="572"/>
      <c r="K51" s="572"/>
      <c r="L51" s="572"/>
      <c r="O51" s="43"/>
      <c r="W51" s="40"/>
    </row>
    <row r="52" spans="1:23" ht="13.8" x14ac:dyDescent="0.25">
      <c r="B52" s="572"/>
      <c r="C52" s="572"/>
      <c r="D52" s="572"/>
      <c r="E52" s="572"/>
      <c r="F52" s="572"/>
      <c r="G52" s="572"/>
      <c r="H52" s="572"/>
      <c r="I52" s="572"/>
      <c r="J52" s="572"/>
      <c r="K52" s="572"/>
      <c r="L52" s="572"/>
      <c r="M52" s="41"/>
      <c r="N52" s="41"/>
      <c r="O52" s="43"/>
      <c r="P52" s="41"/>
      <c r="Q52" s="41"/>
      <c r="R52" s="41"/>
      <c r="S52" s="40"/>
    </row>
    <row r="53" spans="1:23" s="41" customFormat="1" ht="8.25" customHeight="1" thickBot="1" x14ac:dyDescent="0.3">
      <c r="A53" s="77"/>
      <c r="B53" s="78"/>
      <c r="C53" s="78"/>
      <c r="D53" s="78"/>
      <c r="E53" s="78"/>
      <c r="F53" s="78"/>
      <c r="G53" s="78"/>
      <c r="H53" s="78"/>
      <c r="I53" s="78"/>
      <c r="J53" s="79"/>
      <c r="K53" s="79"/>
      <c r="L53" s="80"/>
      <c r="M53" s="80"/>
      <c r="O53" s="43"/>
      <c r="W53" s="40"/>
    </row>
    <row r="54" spans="1:23" s="41" customFormat="1" ht="6.75" customHeight="1" x14ac:dyDescent="0.25">
      <c r="A54" s="39"/>
      <c r="B54" s="68"/>
      <c r="C54" s="68"/>
      <c r="D54" s="68"/>
      <c r="E54" s="68"/>
      <c r="F54" s="68"/>
      <c r="G54" s="68"/>
      <c r="H54" s="68"/>
      <c r="I54" s="68"/>
      <c r="J54" s="69"/>
      <c r="K54" s="69"/>
      <c r="O54" s="43"/>
      <c r="W54" s="40"/>
    </row>
    <row r="55" spans="1:23" ht="13.8" x14ac:dyDescent="0.25">
      <c r="B55" s="48"/>
      <c r="L55" s="41"/>
      <c r="M55" s="41"/>
      <c r="N55" s="41"/>
      <c r="O55" s="43"/>
      <c r="P55" s="41"/>
      <c r="Q55" s="41"/>
      <c r="R55" s="41"/>
      <c r="S55" s="59"/>
    </row>
    <row r="56" spans="1:23" ht="11.25" customHeight="1" x14ac:dyDescent="0.25">
      <c r="B56" s="48"/>
      <c r="L56" s="41"/>
      <c r="M56" s="41"/>
      <c r="N56" s="41"/>
      <c r="O56" s="43"/>
      <c r="P56" s="41"/>
      <c r="Q56" s="41"/>
      <c r="R56" s="41"/>
      <c r="S56" s="59"/>
    </row>
    <row r="57" spans="1:23" ht="13.8" x14ac:dyDescent="0.25">
      <c r="L57" s="41"/>
      <c r="M57" s="41"/>
      <c r="N57" s="41"/>
      <c r="O57" s="43"/>
      <c r="P57" s="41"/>
      <c r="Q57" s="41"/>
      <c r="R57" s="41"/>
      <c r="S57" s="40"/>
    </row>
    <row r="58" spans="1:23" ht="13.8" x14ac:dyDescent="0.25">
      <c r="L58" s="41"/>
      <c r="M58" s="41"/>
      <c r="N58" s="41"/>
      <c r="O58" s="43"/>
      <c r="P58" s="41"/>
      <c r="Q58" s="41"/>
      <c r="R58" s="41"/>
      <c r="S58" s="40"/>
    </row>
    <row r="59" spans="1:23" ht="13.8" x14ac:dyDescent="0.25">
      <c r="O59" s="41"/>
      <c r="P59" s="41"/>
      <c r="Q59" s="41"/>
      <c r="R59" s="41"/>
      <c r="S59" s="40"/>
    </row>
    <row r="60" spans="1:23" ht="13.8" x14ac:dyDescent="0.25">
      <c r="O60" s="41"/>
      <c r="P60" s="41"/>
      <c r="Q60" s="41"/>
      <c r="R60" s="41"/>
      <c r="S60" s="40"/>
    </row>
    <row r="61" spans="1:23" ht="13.8" x14ac:dyDescent="0.25">
      <c r="O61" s="41"/>
      <c r="P61" s="41"/>
      <c r="Q61" s="41"/>
      <c r="R61" s="41"/>
      <c r="S61" s="40"/>
    </row>
    <row r="62" spans="1:23" ht="15.6" x14ac:dyDescent="0.3">
      <c r="O62" s="71"/>
      <c r="P62" s="71"/>
      <c r="Q62" s="71"/>
      <c r="R62" s="71"/>
      <c r="S62" s="72"/>
    </row>
    <row r="63" spans="1:23" ht="15.6" x14ac:dyDescent="0.3">
      <c r="O63" s="71"/>
      <c r="P63" s="71"/>
      <c r="Q63" s="71"/>
      <c r="R63" s="71"/>
      <c r="S63" s="72"/>
    </row>
    <row r="64" spans="1:23" ht="15.6" x14ac:dyDescent="0.3">
      <c r="O64" s="71"/>
      <c r="P64" s="71"/>
      <c r="Q64" s="71"/>
      <c r="R64" s="71"/>
      <c r="S64" s="72"/>
    </row>
    <row r="65" spans="15:19" ht="15.6" x14ac:dyDescent="0.3">
      <c r="O65" s="71"/>
      <c r="P65" s="71"/>
      <c r="Q65" s="71"/>
      <c r="R65" s="71"/>
      <c r="S65" s="72"/>
    </row>
  </sheetData>
  <mergeCells count="8">
    <mergeCell ref="B23:L37"/>
    <mergeCell ref="I45:K45"/>
    <mergeCell ref="I46:K46"/>
    <mergeCell ref="B51:L52"/>
    <mergeCell ref="B38:L38"/>
    <mergeCell ref="I43:K43"/>
    <mergeCell ref="I44:K44"/>
    <mergeCell ref="I42:K42"/>
  </mergeCells>
  <dataValidations count="3">
    <dataValidation type="list" allowBlank="1" showInputMessage="1" showErrorMessage="1" sqref="I42:K46">
      <formula1>$O$3:$O$21</formula1>
    </dataValidation>
    <dataValidation type="list" allowBlank="1" showInputMessage="1" showErrorMessage="1" sqref="G42:G46">
      <formula1>$O$17:$O$19</formula1>
    </dataValidation>
    <dataValidation allowBlank="1" showErrorMessage="1" promptTitle="Do not change" sqref="B41"/>
  </dataValidations>
  <printOptions horizontalCentered="1"/>
  <pageMargins left="0.19685039370078741" right="0.19685039370078741" top="0.55118110236220474" bottom="0.43307086614173229" header="0.23622047244094491" footer="0.23622047244094491"/>
  <pageSetup scale="88" fitToHeight="0" orientation="portrait" r:id="rId1"/>
  <headerFooter>
    <oddHeader>&amp;C&amp;"Times New Roman,Regular"Components of the 2014 Q3 Operating Budget Variance Report&amp;R&amp;"Times New Roman,Regular"APPENDIX A</oddHeader>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DEBCA-EB77-4B27-A965-62E6DDAFB475}"/>
</file>

<file path=customXml/itemProps2.xml><?xml version="1.0" encoding="utf-8"?>
<ds:datastoreItem xmlns:ds="http://schemas.openxmlformats.org/officeDocument/2006/customXml" ds:itemID="{4B2FD488-D00B-4D54-8925-B9199A505735}"/>
</file>

<file path=customXml/itemProps3.xml><?xml version="1.0" encoding="utf-8"?>
<ds:datastoreItem xmlns:ds="http://schemas.openxmlformats.org/officeDocument/2006/customXml" ds:itemID="{C319DDBE-E1E6-411D-9F2F-197172D7AD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Summary</vt:lpstr>
      <vt:lpstr>Tables for Word Doc only</vt:lpstr>
      <vt:lpstr>Myr</vt:lpstr>
      <vt:lpstr>CAS</vt:lpstr>
      <vt:lpstr>CAO</vt:lpstr>
      <vt:lpstr>Legal</vt:lpstr>
      <vt:lpstr>FRS</vt:lpstr>
      <vt:lpstr>Fin</vt:lpstr>
      <vt:lpstr>IT</vt:lpstr>
      <vt:lpstr>CFA</vt:lpstr>
      <vt:lpstr>CS</vt:lpstr>
      <vt:lpstr>HR</vt:lpstr>
      <vt:lpstr>CHR</vt:lpstr>
      <vt:lpstr>Plan</vt:lpstr>
      <vt:lpstr>Eng</vt:lpstr>
      <vt:lpstr>Env</vt:lpstr>
      <vt:lpstr>PWO</vt:lpstr>
      <vt:lpstr>Build</vt:lpstr>
      <vt:lpstr>PFO</vt:lpstr>
      <vt:lpstr>CDO</vt:lpstr>
      <vt:lpstr>ESS</vt:lpstr>
      <vt:lpstr>HCS</vt:lpstr>
      <vt:lpstr>HL</vt:lpstr>
      <vt:lpstr>RC</vt:lpstr>
      <vt:lpstr>WPS</vt:lpstr>
      <vt:lpstr>TW</vt:lpstr>
      <vt:lpstr>HT</vt:lpstr>
      <vt:lpstr>WPL</vt:lpstr>
      <vt:lpstr>AG</vt:lpstr>
      <vt:lpstr>CC</vt:lpstr>
      <vt:lpstr>AG!Print_Area</vt:lpstr>
      <vt:lpstr>Build!Print_Area</vt:lpstr>
      <vt:lpstr>CAO!Print_Area</vt:lpstr>
      <vt:lpstr>CAS!Print_Area</vt:lpstr>
      <vt:lpstr>CC!Print_Area</vt:lpstr>
      <vt:lpstr>CDO!Print_Area</vt:lpstr>
      <vt:lpstr>CFA!Print_Area</vt:lpstr>
      <vt:lpstr>CHR!Print_Area</vt:lpstr>
      <vt:lpstr>CS!Print_Area</vt:lpstr>
      <vt:lpstr>Eng!Print_Area</vt:lpstr>
      <vt:lpstr>Env!Print_Area</vt:lpstr>
      <vt:lpstr>ESS!Print_Area</vt:lpstr>
      <vt:lpstr>Fin!Print_Area</vt:lpstr>
      <vt:lpstr>FRS!Print_Area</vt:lpstr>
      <vt:lpstr>HCS!Print_Area</vt:lpstr>
      <vt:lpstr>HL!Print_Area</vt:lpstr>
      <vt:lpstr>HR!Print_Area</vt:lpstr>
      <vt:lpstr>HT!Print_Area</vt:lpstr>
      <vt:lpstr>IT!Print_Area</vt:lpstr>
      <vt:lpstr>Legal!Print_Area</vt:lpstr>
      <vt:lpstr>Myr!Print_Area</vt:lpstr>
      <vt:lpstr>PFO!Print_Area</vt:lpstr>
      <vt:lpstr>Plan!Print_Area</vt:lpstr>
      <vt:lpstr>PWO!Print_Area</vt:lpstr>
      <vt:lpstr>'RC'!Print_Area</vt:lpstr>
      <vt:lpstr>Summary!Print_Area</vt:lpstr>
      <vt:lpstr>'Tables for Word Doc only'!Print_Area</vt:lpstr>
      <vt:lpstr>TW!Print_Area</vt:lpstr>
      <vt:lpstr>WPL!Print_Area</vt:lpstr>
      <vt:lpstr>WPS!Print_Area</vt:lpstr>
      <vt:lpstr>Summary!Print_Titles</vt:lpstr>
      <vt:lpstr>'Tables for Word Doc only'!Print_Titles</vt:lpstr>
    </vt:vector>
  </TitlesOfParts>
  <Company>City of Windsor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dahera</dc:creator>
  <cp:lastPrinted>2014-11-06T19:55:23Z</cp:lastPrinted>
  <dcterms:created xsi:type="dcterms:W3CDTF">2013-03-12T13:01:18Z</dcterms:created>
  <dcterms:modified xsi:type="dcterms:W3CDTF">2015-02-03T13:46:40Z</dcterms:modified>
</cp:coreProperties>
</file>